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 yWindow="65521" windowWidth="15480" windowHeight="11640" tabRatio="794" activeTab="0"/>
  </bookViews>
  <sheets>
    <sheet name="Свод " sheetId="1" r:id="rId1"/>
    <sheet name="Лист1" sheetId="2" r:id="rId2"/>
  </sheets>
  <definedNames>
    <definedName name="_xlnm.Print_Titles" localSheetId="1">'Лист1'!$A:$A,'Лист1'!$3:$11</definedName>
    <definedName name="_xlnm.Print_Titles" localSheetId="0">'Свод '!$A:$A,'Свод '!$2:$11</definedName>
    <definedName name="_xlnm.Print_Area" localSheetId="1">'Лист1'!$A$1:$AO$159</definedName>
  </definedNames>
  <calcPr fullCalcOnLoad="1"/>
</workbook>
</file>

<file path=xl/comments1.xml><?xml version="1.0" encoding="utf-8"?>
<comments xmlns="http://schemas.openxmlformats.org/spreadsheetml/2006/main">
  <authors>
    <author>otd</author>
  </authors>
  <commentList>
    <comment ref="EM101" authorId="0">
      <text>
        <r>
          <rPr>
            <b/>
            <sz val="8"/>
            <rFont val="Tahoma"/>
            <family val="0"/>
          </rPr>
          <t>otd:</t>
        </r>
        <r>
          <rPr>
            <sz val="8"/>
            <rFont val="Tahoma"/>
            <family val="0"/>
          </rPr>
          <t xml:space="preserve">
</t>
        </r>
      </text>
    </comment>
    <comment ref="EL101" authorId="0">
      <text>
        <r>
          <rPr>
            <b/>
            <sz val="8"/>
            <rFont val="Tahoma"/>
            <family val="0"/>
          </rPr>
          <t>otd:</t>
        </r>
        <r>
          <rPr>
            <sz val="8"/>
            <rFont val="Tahoma"/>
            <family val="0"/>
          </rPr>
          <t xml:space="preserve">
</t>
        </r>
      </text>
    </comment>
  </commentList>
</comments>
</file>

<file path=xl/sharedStrings.xml><?xml version="1.0" encoding="utf-8"?>
<sst xmlns="http://schemas.openxmlformats.org/spreadsheetml/2006/main" count="861" uniqueCount="395">
  <si>
    <t>И.о.первого заместителя директора департамента финансов, бюджетной и налоговой политики администрации области</t>
  </si>
  <si>
    <t>Субсидии на софинансирование капитального ремонта здания муниципального общеобразовательного учреждения "Красногорбатская средняя общеобразовательная школа" Селивановского района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</si>
  <si>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t>
  </si>
  <si>
    <t xml:space="preserve"> 3335147 </t>
  </si>
  <si>
    <t>Иные межбюджетные трансферты на государственную поддержку муниципальных учреждений культуры в рамках подпрограммы "Обеспечение условий реализации Программы" государственной программы Владимирской области "Развитие культуры и туризма на 2014-2020 годы"</t>
  </si>
  <si>
    <t xml:space="preserve"> 3335148 </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</si>
  <si>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государственной программы Владимирской области "Развитие культуры и туризма на 2014-2020 годы"</t>
  </si>
  <si>
    <t xml:space="preserve"> 0145055 </t>
  </si>
  <si>
    <t>Субвенции на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развития агропромышленного комплекса Владимирской области на 2013-2020 годы</t>
  </si>
  <si>
    <t xml:space="preserve"> 0147055 </t>
  </si>
  <si>
    <t>Субвенции на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развития агропромышленного комплекса Владимирской области на 2013-2020 годы</t>
  </si>
  <si>
    <t>Субсидии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подпрограммы "Создание условий для обеспечения доступным и комфортным жильем отдельных категорий граждан Владимирской области, установленных законодательством" Государственной программы Владимирской области "Обеспечение доступным и комфортным жильем населения Владимирской области"</t>
  </si>
  <si>
    <t xml:space="preserve"> 2727010 </t>
  </si>
  <si>
    <t>Субсидии на развитие малоэтажного жилищного строительства на территории области в рамках подпрограммы "Стимулирование развития жилищного строительства" Государственной программы Владимирской области "Обеспечение доступным и комфортным жильем населения Владимирской области"</t>
  </si>
  <si>
    <t xml:space="preserve"> 2727021</t>
  </si>
  <si>
    <t>Субсидии на комплексное освоение и развитие территорий области в целях жилищного строительства в рамках подпрограммы "Стимулирование развития жилищного строительства" Государственной программы Владимирской области "Обеспечение доступным и комфортным жильем населения Владимирской области"</t>
  </si>
  <si>
    <t xml:space="preserve"> 2755020 </t>
  </si>
  <si>
    <t>Субсидии на обеспечение жильем молодых семей в рамках подпрограммы "Обеспечение жильем молодых семей Владимирской области" Государственной программы Владимирской области "Обеспечение доступным и комфортным жильем населения Владимирской области"</t>
  </si>
  <si>
    <t xml:space="preserve"> 2757020</t>
  </si>
  <si>
    <t xml:space="preserve">2727005 </t>
  </si>
  <si>
    <t>Субсидии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подпрограммы "Стимулирование развития жилищного строительства" Государственной программы Владимирской области "Обеспечение доступным и комфортным жильем населения Владимирской области"</t>
  </si>
  <si>
    <t xml:space="preserve"> 2777081 </t>
  </si>
  <si>
    <t>Субсидии на обеспечение жильем многодетных семей в рамках подпрограммы "Обеспечение жильем многодетных семей Владимирской области" Государственной программы Владимирской области "Обеспечение доступным и комфортным жильем населения Владимирской области"</t>
  </si>
  <si>
    <t xml:space="preserve"> 2765134</t>
  </si>
  <si>
    <t>Субсидии на закупку автобусов и техники для жилищно-коммунального хозяйства, работающих на газомоторном топливе, по подпрограмме "Автомобильная промышленность" государственной программы Российской Федерации "Развитие промышленности и повышение ее конкурентоспособности" в рамках государственной программы Владимирской области "Развитие транспорта и рынка газомоторного топлива во Владимирской области на 2014-2020 годы"</t>
  </si>
  <si>
    <t>Иные межбюджетные трансферты на создание и развитие сети многофункциональных центров предоставления государственных и муниципальных услуг в рамках государственной программы Владимирской области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во Владимирской области на 2014-2016 годы"</t>
  </si>
  <si>
    <t>Иные межбюджетные трансферты на выделение грантов по результатам деятельности органов местного самоуправления в рамках  непрограммных расходов  органов исполнительной власти</t>
  </si>
  <si>
    <t>Иные межбюджетные трансферты на повышение эффективности реализации молодежной политики в муниципальных образованиях Владимирской области в рамках подпрограммы "Развитие потенциала молодежи" государственной программы Владимирской области "Дополнительные меры по улучшению демографической ситуации во Владимирской области на 2014-2016 годы"</t>
  </si>
  <si>
    <t>Cубсидии, субвенции, иные межбюджетные трансферты, передаваемые местным бюджетам департаментом культуры  администрациии Владимирской области:</t>
  </si>
  <si>
    <t>Субсидии на софинансирование закупки автобусов и техники для жилищно-коммунального хозяйства, работающих на газомоторном топливе, в рамках государственной программы Владимирской области "Развитие транспорта и рынка газомоторного топлива во Владимирской области на 2014-2020 годы"</t>
  </si>
  <si>
    <t xml:space="preserve">1407173 </t>
  </si>
  <si>
    <t xml:space="preserve"> 9997113</t>
  </si>
  <si>
    <t>Субсидии на софинансирование капитальных вложений в объекты муниципальной собственности на реализацию мероприятий федеральной целевой программы "Чистая вода" на 2011-2017 годы в рамках непрограммных расходов органов исполнительной власти</t>
  </si>
  <si>
    <t>Иные межбюджетные трансферты  на сбалансированность местных бюджетов бюджетам муниципальных образований Владимирской области, достигших наилучших результатов по увеличению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</si>
  <si>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Иные межбюджетные трансферты  на сбалансированность местных бюджетов на ремонт и обустройство дорожной сети, находящейся в собственности муниципальных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</si>
  <si>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Иные межбюджетные трансферты на сбалансированность местных бюджетов на мероприятия в музее-усадьбе Танеевых в с. Маринино Владимирской области"</t>
  </si>
  <si>
    <t xml:space="preserve">Иные межбюджетные трансферты  на сбалансированность местных бюджетов на подготовку празднования 850-летия г.Гороховца </t>
  </si>
  <si>
    <t>Иные межбюджетные трансферты на сбалансированность местных бюджетов на предоставление  дополнительных мер социальной поддержки гражданам, связанных с недопущением роста платы за коммунальные услуги,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</si>
  <si>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Иные межбюджетные трансферты на сбалансированность местных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</si>
  <si>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Иные межбюджетные трансферты  на сбалансированность местных бюджетов бюджетам сельских поселений в целях стимулирования органов местного самоуправления, способствующих развитию гражданского общества путем введения самообложения граждан и через добровольные пожертвования,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</si>
  <si>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Иные межбюджетные трансферты на сбалансированность местных бюджетов на обустройство площадки проведения Всероссийского Фатьяновского праздника поэзии и песни в г.Вязники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</si>
  <si>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Субвенции на  государственную регистрацию актов гражданского состояния администрации Владимирской области</t>
  </si>
  <si>
    <t>ВСЕГО   по департаменту строительства и архитектуры администрации Владимирской области</t>
  </si>
  <si>
    <t>ВСЕГО  по                                                 департаменту  жилищно-коммунального хозяйства администрации Владимирской области</t>
  </si>
  <si>
    <t>ВСЕГО  по                                                  департаменту  развития предпринимательства, торговли  и сферы услуг администрации Владимирской области</t>
  </si>
  <si>
    <t>ВСЕГО по                                                                                                                     департаменту природопользования и охраны окружающей среды администрации Владимирской области</t>
  </si>
  <si>
    <t>ВСЕГО по департаменту  культуры администрации Владимирской области</t>
  </si>
  <si>
    <t>ВСЕГО по департаменту сельского хозяйства и продовольствия администрации Владимирской области</t>
  </si>
  <si>
    <t>ВСЕГО   по                                                  департаменту образования администрации Владимирской области</t>
  </si>
  <si>
    <t>Всего по департаменту по физической культуре и спорту администрации Владимирской области</t>
  </si>
  <si>
    <t>Всего по департаменту административных органов и общественной безопасности администрации Владимирской области</t>
  </si>
  <si>
    <t>ВСЕГО  по                                                  департаменту транспорта и дорожного хозяйства администрации Владимирской области</t>
  </si>
  <si>
    <t>ВСЕГО  по                                                  департаменту по труду и занятости населения администрации Владимирской области</t>
  </si>
  <si>
    <t>ВСЕГО  по                                                  департаменту социальной защиты  населения администрации Владимирской области</t>
  </si>
  <si>
    <t>Иные межбюджетные трансферты,  передаваемые местным бюджетам департаментом жилищно-коммунального хозяйства администрациии Владимирской области:</t>
  </si>
  <si>
    <t>Cубсидии, передаваемые местным бюджетам департаментом культуры  администрациии Владимирской области:</t>
  </si>
  <si>
    <t>ИТОГО           межбюджетные трансферты, передаваемые местным бюджетам</t>
  </si>
  <si>
    <t>Иные межбюджетные трансферты на сбалансированность местных бюджетов бюджетам муниципальных образований Владимирской области, достигших наилучших результатов по увеличению налогового потенциала, за счет субсидии из федерального бюджета на реализацию программ повышения эффективности бюджетных расходов,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</si>
  <si>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в рамках подпрограммы "Создание условий для обеспечения доступным и комфортным жильем отдельных категорий граждан Владимирской области, установленных законодательством" Государственной программы Владимирской области "Обеспечение доступным и комфортным жильем населения Владимирской области"</t>
  </si>
  <si>
    <t xml:space="preserve"> 2765135 </t>
  </si>
  <si>
    <t>Субвенции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в рамках подпрограммы "Создание условий для обеспечения доступным и комфортным жильем отдельных категорий граждан Владимирской области, установленных законодательством" Государственной программы Владимирской области "Обеспечение доступным и комфортным жильем населения Владимирской области"</t>
  </si>
  <si>
    <t xml:space="preserve"> 9899503 </t>
  </si>
  <si>
    <t>Субсидии на строительство и реконструкцию очистных сооружений в рамках подпрограммы "Развитие водохозяйственного комплекса Владимирской области" государственной программы Владимирской области "Охрана окружающей среды и рациональное природопользование на территории Владимирской области на 2014-2020 годы"</t>
  </si>
  <si>
    <t>0457084</t>
  </si>
  <si>
    <t>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областной адресной программы "Переселение граждан из аварийного жилищного фонда в 2013-2017 годах"</t>
  </si>
  <si>
    <t xml:space="preserve"> 9899603 </t>
  </si>
  <si>
    <t>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областной адресной программы "Переселение граждан из аварийного жилищного фонда в 2013-2017 годах"</t>
  </si>
  <si>
    <t xml:space="preserve"> 9799501</t>
  </si>
  <si>
    <t>Субсидии на обеспечение мероприятий по капитальному ремонту многоквартирных домов  за счет средств государственной корпорации - Фонда содействия реформированию жилищно-коммунального хозяйства в рамках региональной программы капитального ремонта на период с 2014 по 2043 годы</t>
  </si>
  <si>
    <t xml:space="preserve"> 9799601 </t>
  </si>
  <si>
    <t>Субсидии на обеспечение мероприятий по капитальному ремонту многоквартирных домов в рамках региональной программы капитального ремонта на период с 2014 по 2043 годы</t>
  </si>
  <si>
    <t xml:space="preserve"> 2115013</t>
  </si>
  <si>
    <t>Субсидии на реализацию мероприятий в рамках подпрограммы "Энергосбережение и повышение энергетической эффективности в энергетическом комплексе области" государственной программы "Энергосбережение и повышение энергетической эффективности во Владимирской области  на период до 2020 года "</t>
  </si>
  <si>
    <t xml:space="preserve"> 2117013 </t>
  </si>
  <si>
    <t>Субсидии на мероприятия по снижению потребления электрической и тепловой энергии в рамках подпрограммы "Энергосбережение и повышение энергетической эффективности в энергетическом комплексе области" государственной программы "Энергосбережение и повышение энергетической эффективности во Владимирской области  на период до 2020 года "</t>
  </si>
  <si>
    <t xml:space="preserve">9699505 </t>
  </si>
  <si>
    <t>Субсидии по модернизации систем коммунальной инфраструктуры за счет средств государственной корпорации - Фонда содействия реформированию жилищно-коммунального хозяйства в рамках региональных  программ</t>
  </si>
  <si>
    <t xml:space="preserve"> 9699605 </t>
  </si>
  <si>
    <t>Субсидии по модернизации систем коммунальной инфраструктуры в рамках региональных  программ</t>
  </si>
  <si>
    <t xml:space="preserve"> 8605109 </t>
  </si>
  <si>
    <t>Субсидии на мероприятия по обеспечению питьевой водой населения Владимирской области за счет остатков субсидии федерального бюджета в рамках федеральной целевой программы "Чистая вода" на 2011-2017 годы</t>
  </si>
  <si>
    <t>2147075</t>
  </si>
  <si>
    <t>Субсидии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"Энергосбережение и повышение энергетической эффективности на транспорте" государственной программы "Энергосбережение и повышение энергетической эффективности во Владимирской области на период до 2020 года"</t>
  </si>
  <si>
    <t xml:space="preserve"> 9995162 </t>
  </si>
  <si>
    <t>Иные межбюджетные трансферты на премирование победителей Всероссийского конкурса на звание "Самое благоустроенное городское (сельское) поселение России" в рамках  непрограммных расходов  органов исполнительной власти</t>
  </si>
  <si>
    <t xml:space="preserve">0525064 </t>
  </si>
  <si>
    <t>Субсидии на государственную поддержку малого и среднего предпринимательства, включая крестьянские (фермерские) хозяйства, в рамках подпрограммы  "Финансовая поддержка малого и среднего предпринимательства" государственной программы Владимирской области "Развитие малого и среднего предпринимательства во Владимирской области на 2014-2020 годы"</t>
  </si>
  <si>
    <t xml:space="preserve">0455016 </t>
  </si>
  <si>
    <t>Субсидии на экологическое восстановление водных объектов и капитальный ремонт гидротехнических сооружений в рамках подпрограммы "Развитие водохозяйственного комплекса Владимирской области" государственной программы Владимирской области "Охрана окружающей среды и рациональное природопользование на территории Владимирской области на 2014-2020 годы"</t>
  </si>
  <si>
    <t xml:space="preserve"> 0457128 </t>
  </si>
  <si>
    <t xml:space="preserve"> 2407036 </t>
  </si>
  <si>
    <t>Субсидии на антинаркотическую пропаганду и воспитание в рамках государственной программы "Противодействие злоупотреблению наркотиками и их незаконному обороту на 2010-2014 годы"</t>
  </si>
  <si>
    <t>2407037</t>
  </si>
  <si>
    <t>Субсидии на формирование комплексной системы профилактики наркомании в рамках  государственной программы "Противодействие злоупотреблению наркотиками и их незаконному обороту на 2010-2014 годы"</t>
  </si>
  <si>
    <t>2407038</t>
  </si>
  <si>
    <t>Субсидии на материально-техническое обеспечение в рамках государственной программы "Противодействие злоупотреблению наркотиками и их незаконному обороту на 2010-2014 годы"</t>
  </si>
  <si>
    <t xml:space="preserve"> 2307026 </t>
  </si>
  <si>
    <t>Субсидии на совершенствование региональной системы профилактики правонарушений в рамках государственной программы "Обеспечение общественного порядка и профилактики правонарушений во Владимирской области на 2013-2015 годы"</t>
  </si>
  <si>
    <t xml:space="preserve"> 2307027</t>
  </si>
  <si>
    <t>Субсидии на обеспечение безопасных условий жизнедеятельности на территории области в рамках  государственной программы "Обеспечение общественного порядка и профилактики правонарушений во Владимирской области на 2013-2015 годы"</t>
  </si>
  <si>
    <t xml:space="preserve"> 2307029</t>
  </si>
  <si>
    <t>Субсидии на профилактику правонарушений среди несовершеннолет-них и молодежи в рамках  государственной программы "Обеспечение общественного порядка и профилактики правонарушений во Владимирской области на 2013-2015 годы"</t>
  </si>
  <si>
    <t xml:space="preserve"> 2307033</t>
  </si>
  <si>
    <t>Субсидии на повышение уровня правовых знаний в рамках  государственной программы "Обеспечение общественного порядка и профилактики правонарушений во Владимирской области на 2013-2015 годы"</t>
  </si>
  <si>
    <t xml:space="preserve"> 3377053</t>
  </si>
  <si>
    <t>0237041</t>
  </si>
  <si>
    <t>0237042</t>
  </si>
  <si>
    <t>Дотация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</si>
  <si>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Дотация на выравнивание бюджетной обеспеченности поселений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</si>
  <si>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Дотации на  доведение объемов дотаций на выравнивание бюджетной обеспеченности муниципальных районов (городских округов) до 90% уровня 2013 года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</si>
  <si>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Дотации закрытым административно-территориальным образованиям в рамках непрограммных расходов органов исполнительной власти</t>
  </si>
  <si>
    <t>Субсидии на софинансирование проведения ремонтных, противоаварийных работ и противопожарных мероприятий в зданиях муниципальных учреждений культуры в рамках подпрограммы "Развитие и модернизация материально-технической базы учреждений культуры малых городов и сельских поселений Владимирской области" государственной программы Владимирской области "Развитие культуры и туризма на 2014-2020 годы"</t>
  </si>
  <si>
    <t xml:space="preserve"> 3337039 </t>
  </si>
  <si>
    <t>Субсидии на 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подпрограммы "Обеспечение условий реализации Программы" государственной программы Владимирской области "Развитие культуры и туризма на 2014-2020 годы"</t>
  </si>
  <si>
    <t xml:space="preserve"> 9997023 </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</si>
  <si>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t>
  </si>
  <si>
    <t xml:space="preserve"> 3375014</t>
  </si>
  <si>
    <t>Субсидии на проведение работ по совершенствованию обеспечения уровня безопасности посетителей и работников музеев, безопасности и сохранности музейных фондов в рамках подпрограммы "Развитие и модернизация материально-технической базы учреждений культуры малых городов и сельских поселений Владимирской области" государственной программы Владимирской области "Развитие культуры и туризма на 2014-2020 годы"</t>
  </si>
  <si>
    <t>ИТОГО:</t>
  </si>
  <si>
    <t>Юрьев-Польский р-н</t>
  </si>
  <si>
    <t>г.Суздаль</t>
  </si>
  <si>
    <t>Суздальский р-н</t>
  </si>
  <si>
    <t>Судогодский р-н</t>
  </si>
  <si>
    <t>п.Ставрово</t>
  </si>
  <si>
    <t>г.Собинка</t>
  </si>
  <si>
    <t>г.Лакинск</t>
  </si>
  <si>
    <t>Собинский район</t>
  </si>
  <si>
    <t>Селивановский р-н</t>
  </si>
  <si>
    <t>г.Покров</t>
  </si>
  <si>
    <t>Петушинский район</t>
  </si>
  <si>
    <t>Муромский район</t>
  </si>
  <si>
    <t>Меленковский р-н</t>
  </si>
  <si>
    <t>Кольчугинский район</t>
  </si>
  <si>
    <t>Ковровский район</t>
  </si>
  <si>
    <t>Киржачский район</t>
  </si>
  <si>
    <t>Камешковский р-н</t>
  </si>
  <si>
    <t>п.Уршельский</t>
  </si>
  <si>
    <t>п.Мезиновский</t>
  </si>
  <si>
    <t>п.Красное Эхо</t>
  </si>
  <si>
    <t>п.Иванищи</t>
  </si>
  <si>
    <t>п.Золотково</t>
  </si>
  <si>
    <t>п.Добрятино</t>
  </si>
  <si>
    <t>п.Великодворский</t>
  </si>
  <si>
    <t>п.Анопино</t>
  </si>
  <si>
    <t>г.Курлово</t>
  </si>
  <si>
    <t>Гусь-Хрустальный р-н</t>
  </si>
  <si>
    <t>Гороховецкий р-н</t>
  </si>
  <si>
    <t>Вязниковский район</t>
  </si>
  <si>
    <t>Александровский р-н</t>
  </si>
  <si>
    <t>ЗАТО г.Радужный</t>
  </si>
  <si>
    <t>ок.Муром</t>
  </si>
  <si>
    <t>г.Ковров</t>
  </si>
  <si>
    <t>г.Гусь-Хрустальный</t>
  </si>
  <si>
    <t>г.Владимир</t>
  </si>
  <si>
    <t xml:space="preserve">Субвенции  на обеспечение деятельности комиссий по делам несовершеннолетних и защите их прав </t>
  </si>
  <si>
    <t>Городские округа:</t>
  </si>
  <si>
    <t>муниципальный район</t>
  </si>
  <si>
    <t>г.Александров</t>
  </si>
  <si>
    <t>п.Балакирево</t>
  </si>
  <si>
    <t>г.Карабаново</t>
  </si>
  <si>
    <t>г.Струнино</t>
  </si>
  <si>
    <t>г.Вязники</t>
  </si>
  <si>
    <t>1627054</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</si>
  <si>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защиты прав и интересов детей-сирот и детей, оставшихся без попечения родителей" Государственной программы Владимирской области "Развитие образования" на 2014-2020 годы</t>
  </si>
  <si>
    <t xml:space="preserve"> 1637065 </t>
  </si>
  <si>
    <t>Субвенции на содержание ребенка в семье опекуна и приемной семье, а также вознаграждение, причитающееся приемному родителю, в рамках подпрограммы "Обеспечение защиты прав и интересов детей-сирот и детей, оставшихся без попечения родителей" Государственной программы Владимирской области "Развитие образования" на 2014-2020 годы</t>
  </si>
  <si>
    <t xml:space="preserve"> 1647088 </t>
  </si>
  <si>
    <t xml:space="preserve"> 1637082, 1635082 </t>
  </si>
  <si>
    <t>Иные межбюджетные трансферты на поощрение лучших учителей - лауреатов областного конкурса в рамках подпрограммы "Развитие системы оценки качества образования и информационной прозрачности системы образования" Государственной программы Владимирской области "Развитие образования" на 2014-2020 годы</t>
  </si>
  <si>
    <t xml:space="preserve">1627096  </t>
  </si>
  <si>
    <t>Иные межбюджетные трансферты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</si>
  <si>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2307029 </t>
  </si>
  <si>
    <t xml:space="preserve">1717112 </t>
  </si>
  <si>
    <t>Субсидии на материально-техническое обеспечение деятельности по профилактике правонарушений в рамках государственной программы "Обеспечение общественного порядка и профилактики правонарушений во Владимирской области на 2013-2015 годы"</t>
  </si>
  <si>
    <t>Субсидии на софинансирование капитальных вложений в объекты муниципальной собственности в рамках подпрограммы "Развитие физической культуры и массового спорта" государственной программы Владимирской области "Развитие физической культуры и спорта во Владимирской области"</t>
  </si>
  <si>
    <t>2307031</t>
  </si>
  <si>
    <t xml:space="preserve"> 2307027 </t>
  </si>
  <si>
    <t xml:space="preserve"> 1715095 </t>
  </si>
  <si>
    <t>Субсидии на софинансирование строительства объектов капитального строительства, находящихся в муниципальной собственности, в рамках подпрограммы "Развитие физической культуры и массового спорта" государственной программы Владимирской области "Развитие физической культуры и спорта во Владимирской области"</t>
  </si>
  <si>
    <t xml:space="preserve"> 2627002 </t>
  </si>
  <si>
    <t>Субвенции на реализацию отдельных государственных полномочий по вопросам административного законодательства в рамках подпрограммы "Обеспечение реализации отдельных государственных полномочий в сфере защиты прав и свобод человека и гражданина, повышения уровня общественной безопасности" государственной программы "Юстиция"</t>
  </si>
  <si>
    <t xml:space="preserve"> 2625120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</si>
  <si>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"Обеспечение реализации отдельных государственных полномочий в сфере защиты прав и свобод человека и гражданина, повышения уровня общественной безопасности" государственной программы "Юстиция"</t>
  </si>
  <si>
    <t xml:space="preserve"> 2807115 </t>
  </si>
  <si>
    <t>Субсидии  на проектирование, строительство и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рамках государственной программы "Дорожное хозяйство Владимирской области на 2014-2025 годы"</t>
  </si>
  <si>
    <t xml:space="preserve"> 2835115 </t>
  </si>
  <si>
    <t>Субсидии на проектирование, строительство и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по подпрограмме "Автомобильные дороги" федеральной целевой программы "Развитие транспортной системы России (2010 - 2020 годы)" в рамках государственной программы "Дорожное хозяйство Владимирской области на 2014-2025 годы"</t>
  </si>
  <si>
    <t xml:space="preserve"> 9997015 </t>
  </si>
  <si>
    <t>план</t>
  </si>
  <si>
    <t>Субсидии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t>
  </si>
  <si>
    <t>2815115</t>
  </si>
  <si>
    <t>Субсидии на транспортную развязку в начальной точке автомобильной дороги Владимир - Муром - Арзамас (I и II очередь) по подпрограмме "Автомобильные дороги" федеральной целевой программы "Развитие транспортной системы России (2010 - 2020 годы)" в рамках государственной программы "Дорожное хозяйство Владимирской области на 2014-2025 годы"</t>
  </si>
  <si>
    <t xml:space="preserve"> 2807019 </t>
  </si>
  <si>
    <t>Субсидии на строительство,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государственной программы "Дорожное хозяйство Владимирской области на 2014-2025 годы"</t>
  </si>
  <si>
    <t xml:space="preserve"> 2807078 </t>
  </si>
  <si>
    <t>Субсидии на ремонт и содержание автомобильных дорог общего пользования местного значения в рамках государственной программы "Дорожное хозяйство Владимирской области на 2014-2025 годы"</t>
  </si>
  <si>
    <t xml:space="preserve">1405173 </t>
  </si>
  <si>
    <t xml:space="preserve"> 3205083 </t>
  </si>
  <si>
    <t>Иные межбюджетные трансферты на реализацию дополнительных мероприятий в сфере занятости населения в рамках государственной программы Владимирской области "Содействие занятости населения Владимирской области на 2014-2016 годы"</t>
  </si>
  <si>
    <t>Иные межбюджетные трансферты, передаваемые местным бюджетам департаментом по труду и занятости населения  администрациии Владимирской области:</t>
  </si>
  <si>
    <t>Cубсидии, субвенции, иные межбюджетные трансферты, передаваемые местным бюджетам департаментом культуры администрациии Владимирской области:</t>
  </si>
  <si>
    <t xml:space="preserve"> 3207083</t>
  </si>
  <si>
    <t>Иные межбюджетные трансферты на содействие трудоустройству незанятых инвалидов на оборудованные (оснащенные) для них рабочие места в рамках государственной программы Владимирской области "Содействие занятости населения Владимирской области на 2014-2016 годы"</t>
  </si>
  <si>
    <t>Иные межбюджетные трансферты, передаваемые местным бюджетам департаментом социальной защиты населения  администрациии Владимирской области:</t>
  </si>
  <si>
    <t xml:space="preserve"> 9995224 </t>
  </si>
  <si>
    <t>Иные межбюджетные трансферты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в рамках непрограммных расходов органов исполнительной власти</t>
  </si>
  <si>
    <t xml:space="preserve"> 9997114 </t>
  </si>
  <si>
    <t>п.Мстера</t>
  </si>
  <si>
    <t>п.Никологоры</t>
  </si>
  <si>
    <t>г.Гороховец</t>
  </si>
  <si>
    <t>г.Камешково</t>
  </si>
  <si>
    <t>г.Киржач</t>
  </si>
  <si>
    <t>п.Мелехово</t>
  </si>
  <si>
    <t>г.Кольчугино</t>
  </si>
  <si>
    <t>г.Меленки</t>
  </si>
  <si>
    <t>п.Вольгинский</t>
  </si>
  <si>
    <t>п.Городищи</t>
  </si>
  <si>
    <t>г.Костерево</t>
  </si>
  <si>
    <t>г.Петушки</t>
  </si>
  <si>
    <t>п.Красная Горбатка</t>
  </si>
  <si>
    <t>г.Судогда</t>
  </si>
  <si>
    <t>г.Юрьев-Польский</t>
  </si>
  <si>
    <t>Субвенции на осуществление первичного воинского учета на территориях, где отсутствуют военные комиссариаты</t>
  </si>
  <si>
    <t>Андреевское</t>
  </si>
  <si>
    <t>Каринское</t>
  </si>
  <si>
    <t>Краснопламенское</t>
  </si>
  <si>
    <t>Следневское</t>
  </si>
  <si>
    <t>Паустовское</t>
  </si>
  <si>
    <t>Октябрьское</t>
  </si>
  <si>
    <t>Сарыевское</t>
  </si>
  <si>
    <t>Степанцевское</t>
  </si>
  <si>
    <t>Денисовское</t>
  </si>
  <si>
    <t>Куприяновское</t>
  </si>
  <si>
    <t>Фоминское</t>
  </si>
  <si>
    <t>Григорьевское</t>
  </si>
  <si>
    <t>Демидовское</t>
  </si>
  <si>
    <t>Купреевское</t>
  </si>
  <si>
    <t>Краснооктябрьское</t>
  </si>
  <si>
    <t>Уляхинское</t>
  </si>
  <si>
    <t>Брызгаловское</t>
  </si>
  <si>
    <t>Вахромеевское</t>
  </si>
  <si>
    <t>Второвское</t>
  </si>
  <si>
    <t>Пенкинское</t>
  </si>
  <si>
    <t>Сергеихинское</t>
  </si>
  <si>
    <t>Горкинское</t>
  </si>
  <si>
    <t>Кипревское</t>
  </si>
  <si>
    <t>Першинское</t>
  </si>
  <si>
    <t>Филипповское</t>
  </si>
  <si>
    <t>Клязьминское</t>
  </si>
  <si>
    <t>Ивановское</t>
  </si>
  <si>
    <t>Малыгинское</t>
  </si>
  <si>
    <t>Новосельское</t>
  </si>
  <si>
    <t>Бавленское</t>
  </si>
  <si>
    <t>Есиплевское</t>
  </si>
  <si>
    <t>Ильинское</t>
  </si>
  <si>
    <t>Раздольевское</t>
  </si>
  <si>
    <t>Флорищенское</t>
  </si>
  <si>
    <t>Бутылицкое</t>
  </si>
  <si>
    <t>Илькинское</t>
  </si>
  <si>
    <t>Даниловское</t>
  </si>
  <si>
    <t>Денятинское</t>
  </si>
  <si>
    <t>Дмитриевогорское</t>
  </si>
  <si>
    <t>Ляховское</t>
  </si>
  <si>
    <t>Тургеневское</t>
  </si>
  <si>
    <t>Борисоглебское</t>
  </si>
  <si>
    <t>Ковардицкое</t>
  </si>
  <si>
    <t>Нагорное</t>
  </si>
  <si>
    <t>Пекшинское</t>
  </si>
  <si>
    <t>Петушинское</t>
  </si>
  <si>
    <t>Волосатовское</t>
  </si>
  <si>
    <t>Малышевское</t>
  </si>
  <si>
    <t>Новлянское</t>
  </si>
  <si>
    <t>Чертковское</t>
  </si>
  <si>
    <t>Асерховское</t>
  </si>
  <si>
    <t>Березниковское</t>
  </si>
  <si>
    <t>Воршинское</t>
  </si>
  <si>
    <t>Колокшанское</t>
  </si>
  <si>
    <t>Копнинское</t>
  </si>
  <si>
    <t>Куриловское</t>
  </si>
  <si>
    <t>Рождественское</t>
  </si>
  <si>
    <t>Толпуховское</t>
  </si>
  <si>
    <t>Черкутинское</t>
  </si>
  <si>
    <t>Вяткинское</t>
  </si>
  <si>
    <t>Головинское</t>
  </si>
  <si>
    <t>Лавровское</t>
  </si>
  <si>
    <t>Мошокское</t>
  </si>
  <si>
    <t>Муромцевское</t>
  </si>
  <si>
    <t>Боголюбовское</t>
  </si>
  <si>
    <t>Новоалександровское</t>
  </si>
  <si>
    <t>Павловское</t>
  </si>
  <si>
    <t>Селецкое</t>
  </si>
  <si>
    <t>Красносельское</t>
  </si>
  <si>
    <t>Небыловское</t>
  </si>
  <si>
    <t>Симское</t>
  </si>
  <si>
    <t>МУНИЦИПАЛЬНЫЕ ОБРАЗОВАНИЯ ВЛАДИМИРСКОЙ ОБЛАСТИ</t>
  </si>
  <si>
    <t>Исполнено</t>
  </si>
  <si>
    <t>ВСЕГО по департаменту финансов, бюджетной и налоговой политики администрации Владимирской области</t>
  </si>
  <si>
    <t xml:space="preserve">Дотации, субсидии, субвенции и иные межбюджетные трансферты, передаваемые местным бюджетам департаментом финансов, бюджетной и налоговой политики администрации Владимирской области: </t>
  </si>
  <si>
    <t xml:space="preserve">Субсидии, субвенции и иные межбюджетные трансферты, передаваемые местным бюджетам администрацией Владимирской области: </t>
  </si>
  <si>
    <t xml:space="preserve">Субсидии, субвенции, передаваемые местным бюджетам департаментом строительства и архитектуры администрациии Владимирской области: </t>
  </si>
  <si>
    <t>Субсидии,  передаваемые местным бюджетам департаментом жилищно-коммунального хозяйства администрациии Владимирской области:</t>
  </si>
  <si>
    <t>Субсидии,  передаваемые местным бюджетам департаментом  развития предпринимательства, торговли и сферы услуг администрациии Владимирской области:</t>
  </si>
  <si>
    <t>Субсидии,  передаваемые местным бюджетам департаментом  природопользования и охраны окружающей среды администрациии Владимирской области:</t>
  </si>
  <si>
    <t>Субвенции, передаваемые местным бюджетам департаментом  сельского хозяйства и продовольствия администрациии Владимирской области:</t>
  </si>
  <si>
    <t xml:space="preserve">Всего  по администрации Владимирской  области </t>
  </si>
  <si>
    <t xml:space="preserve">Субвенции, передаваемые местным бюджетам департаментом записи актов гражданского состояния администрации Владимирской области: </t>
  </si>
  <si>
    <t>дотации</t>
  </si>
  <si>
    <t>субсидии</t>
  </si>
  <si>
    <t>субвенции</t>
  </si>
  <si>
    <t>иные межбюджетные трансферты</t>
  </si>
  <si>
    <t>Е.Г. Путова</t>
  </si>
  <si>
    <t>Cубсидии, субвенции, иные межбюджетные трансферты, передаваемые местным бюджетам департаментом  образования  администрациии Владимирской области:</t>
  </si>
  <si>
    <t>Cубсидии ,субвенции, передаваемые местным бюджетам департаментом   административных органов и общественной безопасности администрациии Владимирской области:</t>
  </si>
  <si>
    <t>Cубсидии, передаваемые местным бюджетам департаментом   транспорта и дорожного хозяйства администрациии Владимирской области:</t>
  </si>
  <si>
    <t>в том числе:</t>
  </si>
  <si>
    <t>Субсидии по долгосрочной целевой программе "Комплексные меры профилактики правонарушений во Владимирской области на 2013-2015 годы"</t>
  </si>
  <si>
    <t>Cубсидии, передаваемые местным бюджетам департаментом  по физической культуре и спорту администрациии Владимирской области:</t>
  </si>
  <si>
    <t>Исполнение межбюджетных трансфертов, передаваемых из областного бюджета Владимирской области бюджетам муниципальных образований, за 2014 год</t>
  </si>
  <si>
    <t>0237067</t>
  </si>
  <si>
    <t>Субвенции на обеспечение полномочий по организации и осуществлению деятельности по опеке и попечительству в отношении несовершеннолетних граждан в рамках подпрограммы "Обеспечение защиты прав и интересов детей-сирот и детей, оставшихся без попечения родителей" Государственной программы Владимирской области "Развитие образования" на 2014-2020 годы</t>
  </si>
  <si>
    <t>0237070</t>
  </si>
  <si>
    <t>0237071</t>
  </si>
  <si>
    <t xml:space="preserve"> 0237062</t>
  </si>
  <si>
    <t>0237068</t>
  </si>
  <si>
    <t>0237073</t>
  </si>
  <si>
    <t>0237044</t>
  </si>
  <si>
    <t>0237069</t>
  </si>
  <si>
    <t>0237072</t>
  </si>
  <si>
    <t>Субсидии на реализацию муниципальных программ повышения эффективности бюджетных расходов и дотации на сбалансированность местных бюджетов бюджетам муниципальных образований Владимирской области, достигших наилучших результатов по увеличению налогового потенциала, за счет субсидии из федерального бюджета на реализацию программ повышения эффективности бюджетных расходов,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</si>
  <si>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 xml:space="preserve"> 0235089</t>
  </si>
  <si>
    <t>Субсидии на реализацию муниципальных программ повышения эффективности бюджетных расходов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государственной программы Владимирской области "Управление государственными финансами и государственным долгом Владимирской области"</t>
  </si>
  <si>
    <t xml:space="preserve"> 0237043 </t>
  </si>
  <si>
    <t xml:space="preserve">02Б5118 </t>
  </si>
  <si>
    <t xml:space="preserve"> 9997001 </t>
  </si>
  <si>
    <t xml:space="preserve">1107040 </t>
  </si>
  <si>
    <t xml:space="preserve">2307027 </t>
  </si>
  <si>
    <t>Субсидии на профилактику правонарушений среди несовершеннолетних и молодежи в рамках  государственной программы "Обеспечение общественного порядка и профилактики правонарушений во Владимирской области на 2013-2015 годы"</t>
  </si>
  <si>
    <t>1627085</t>
  </si>
  <si>
    <t>Субсидии на софинансирование капитального ремонта объектов муниципальной собственности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</si>
  <si>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1627057 </t>
  </si>
  <si>
    <t xml:space="preserve">1627112 </t>
  </si>
  <si>
    <t>Субсидии на софинансирование капитальных вложений в объекты муниципальной собственности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</si>
  <si>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1627050</t>
  </si>
  <si>
    <t>Субсидии на софинансирование расходов по оздоровлению детей в каникулярное время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</si>
  <si>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1627046</t>
  </si>
  <si>
    <t>Субсидии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</si>
  <si>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1627059 </t>
  </si>
  <si>
    <t>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</si>
  <si>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1627051 </t>
  </si>
  <si>
    <t>Субсидии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</si>
  <si>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1627085 </t>
  </si>
  <si>
    <t xml:space="preserve"> 1625059 </t>
  </si>
  <si>
    <t>Субсидии на реализацию мероприятий по модернизации региональной системы дошкольного образования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</si>
  <si>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1625027 </t>
  </si>
  <si>
    <t>Субсидии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"Развитие дошкольного, общего образования и дополнительного образования детей" Государственной программы Владимирской области "Развитие образования"на 2014-2020 годы</t>
  </si>
  <si>
    <t xml:space="preserve"> 1627076 </t>
  </si>
  <si>
    <t>Субсидии на 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</si>
  <si>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1627049</t>
  </si>
  <si>
    <t>Субвенции на обеспечение государственных гарантий реализации прав на получение общедоступного и бесплатного дошкольного образования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</si>
  <si>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1627047 </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</si>
  <si>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</si>
  <si>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1627048 </t>
  </si>
  <si>
    <t>Субвенции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</si>
  <si>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1627056 </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</si>
  <si>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Владимирской области "Развитие образования" на 2014-2020 годы</t>
  </si>
  <si>
    <t xml:space="preserve"> 1637007 </t>
  </si>
  <si>
    <t>Субсидии по государственной  программе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во Владимирской области на 2014-2016 годы"</t>
  </si>
  <si>
    <t>Субсидии на исполнение мероприятий по формированию конкурентоспособного регионального туристского продукта в рамках ведомственной целевой программы "Поддержка развития внутреннего и въездного туризма во Владимирской области "Малое Золотое кольцо" государственной программы Владимирской области "Развитие культуры и туризма на 2014-2020 годы"</t>
  </si>
  <si>
    <t xml:space="preserve"> 3367024 </t>
  </si>
  <si>
    <t xml:space="preserve"> 9997014</t>
  </si>
  <si>
    <t xml:space="preserve"> 1847063 </t>
  </si>
  <si>
    <t xml:space="preserve"> 0927066 </t>
  </si>
  <si>
    <t xml:space="preserve"> 1105392 </t>
  </si>
  <si>
    <t>Иные межбюджетные трансферты муниципальным образованиям на создание, развитие и обеспечение функционирования информационно-технологической инфраструктуры органов и структурных подразделений администрации области, органов местного самоуправления, повышение надежности работы аппаратных средств и обеспечение защиты информации в рамках подпрограммы "Электронные органы исполнительной власти региона" государственной программы Владимирской области "Информационное общество (2014-2020 годы)"</t>
  </si>
  <si>
    <t xml:space="preserve">2717008 </t>
  </si>
  <si>
    <t>Субсидии на обеспечение территорий документацией для осуществления градостроительной деятельности в рамках подпрограммы "Обеспечение  территорий документацией для осуществления градостроительной деятельности" Государственной программы Владимирской области "Обеспечение доступным и комфортным жильем населения Владимирской области"</t>
  </si>
  <si>
    <t>2737011</t>
  </si>
  <si>
    <t xml:space="preserve"> 2747009 </t>
  </si>
  <si>
    <t>Субсидии на мероприятия по ипотечному жилищному кредитованию в рамках подпрограммы "Развитие ипотечного жилищного кредитования" Государственной программы Владимирской области "Обеспечение доступным и комфортным жильем населения Владимирской области"</t>
  </si>
  <si>
    <t>Субсидии на строительство жилья и приобретение жилых помещений в рамках подпрограммы "Социальное жилье" Государственной программы Владимирской области "Обеспечение доступным и комфортным жильем населения Владимирской области"</t>
  </si>
  <si>
    <t xml:space="preserve"> 0185018 </t>
  </si>
  <si>
    <t>Субсидии на реализацию мероприятий в рамках подпрограммы "Устойчивое развитие сельских территорий" Государственной программы развития агропромышленного комплекса Владимирской области на 2013-2020 годы</t>
  </si>
  <si>
    <t xml:space="preserve"> 0187018 </t>
  </si>
  <si>
    <t>Субсидии на комплексное обустройство сельской местности объектами социальной и инженерной инфраструктуры и грантовая поддержка местных инициатив граждан в рамках подпрограммы  "Устойчивое развитие сельских территорий" Государственной программы развития агропромышленного комплекса Владимирской области на 2013-2020 годы</t>
  </si>
  <si>
    <t xml:space="preserve"> 2767004</t>
  </si>
  <si>
    <t xml:space="preserve"> 9997022 </t>
  </si>
  <si>
    <t>Субвенции на обеспечение охраны музейных фондов, находящихся в областной собственности, в рамках непрограммных расходов органов исполнительной власти</t>
  </si>
  <si>
    <t xml:space="preserve"> 3335190 </t>
  </si>
  <si>
    <t>Иные межбюджетные трансферты на государственную поддержку (грант) комплексного развития региональных и муниципальных учреждений культуры  в рамках подпрограммы "Обеспечение условий реализации Программы" государственной программы Владимирской области "Развитие культуры и туризма на 2014-2020 годы"</t>
  </si>
  <si>
    <t xml:space="preserve"> 3335191 </t>
  </si>
  <si>
    <t>Иные межбюджетные трансферты на государственную поддержку (грант) больших, средних и малых городов - центров культуры и туризма  в рамках подпрограммы "Обеспечение условий реализации Программы" государственной программы Владимирской области "Развитие культуры и туризма на 2014-2020 годы"</t>
  </si>
  <si>
    <t xml:space="preserve">3335192 </t>
  </si>
  <si>
    <t>Иные межбюджетные трансферты нагосударственную  поддержку (грант)  реализации лучших событийных региональных и межрегиональных проектов в  рамках развития культурно-познавательного туризма в рамках подпрограммы "Обеспечение условий реализации Программы" государственной программы Владимирской области "Развитие культуры и туризма на 2014-2020 годы"</t>
  </si>
  <si>
    <t xml:space="preserve"> 9995146</t>
  </si>
  <si>
    <t>Муниципальные районы и поселения: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</si>
</sst>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quot;р.&quot;"/>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
    <numFmt numFmtId="175" formatCode="#,##0.000"/>
  </numFmts>
  <fonts count="29">
    <font>
      <sz val="10"/>
      <name val="Arial Cyr"/>
      <family val="0"/>
    </font>
    <font>
      <sz val="8"/>
      <name val="Arial Cyr"/>
      <family val="0"/>
    </font>
    <font>
      <b/>
      <sz val="10"/>
      <name val="Arial Cyr"/>
      <family val="2"/>
    </font>
    <font>
      <b/>
      <sz val="12"/>
      <name val="Arial Cyr"/>
      <family val="2"/>
    </font>
    <font>
      <sz val="8"/>
      <name val="Tahoma"/>
      <family val="0"/>
    </font>
    <font>
      <b/>
      <sz val="8"/>
      <name val="Tahoma"/>
      <family val="0"/>
    </font>
    <font>
      <b/>
      <sz val="10"/>
      <name val="Arial"/>
      <family val="2"/>
    </font>
    <font>
      <sz val="10"/>
      <name val="Arial"/>
      <family val="2"/>
    </font>
    <font>
      <sz val="8"/>
      <name val="Arial"/>
      <family val="2"/>
    </font>
    <font>
      <i/>
      <sz val="10"/>
      <name val="Arial"/>
      <family val="2"/>
    </font>
    <font>
      <b/>
      <i/>
      <sz val="9"/>
      <name val="Arial"/>
      <family val="2"/>
    </font>
    <font>
      <i/>
      <sz val="9"/>
      <name val="Arial"/>
      <family val="2"/>
    </font>
    <font>
      <b/>
      <i/>
      <sz val="8"/>
      <name val="Arial"/>
      <family val="2"/>
    </font>
    <font>
      <i/>
      <sz val="8"/>
      <name val="Arial"/>
      <family val="2"/>
    </font>
    <font>
      <sz val="9"/>
      <name val="Arial"/>
      <family val="2"/>
    </font>
    <font>
      <b/>
      <sz val="9"/>
      <name val="Arial"/>
      <family val="2"/>
    </font>
    <font>
      <sz val="12"/>
      <name val="Arial"/>
      <family val="2"/>
    </font>
    <font>
      <b/>
      <sz val="12"/>
      <name val="Arial"/>
      <family val="2"/>
    </font>
    <font>
      <sz val="7"/>
      <name val="Arial"/>
      <family val="2"/>
    </font>
    <font>
      <sz val="7.5"/>
      <name val="Arial"/>
      <family val="2"/>
    </font>
    <font>
      <sz val="7.5"/>
      <name val="Arial Cyr"/>
      <family val="0"/>
    </font>
    <font>
      <sz val="9"/>
      <name val="Arial Cyr"/>
      <family val="0"/>
    </font>
    <font>
      <sz val="7.3"/>
      <name val="Arial"/>
      <family val="2"/>
    </font>
    <font>
      <sz val="8.5"/>
      <name val="Arial"/>
      <family val="2"/>
    </font>
    <font>
      <i/>
      <sz val="7.5"/>
      <name val="Arial"/>
      <family val="2"/>
    </font>
    <font>
      <i/>
      <sz val="6"/>
      <name val="Arial"/>
      <family val="2"/>
    </font>
    <font>
      <sz val="6"/>
      <name val="Arial Cyr"/>
      <family val="0"/>
    </font>
    <font>
      <i/>
      <sz val="10"/>
      <name val="Arial Cyr"/>
      <family val="0"/>
    </font>
    <font>
      <b/>
      <sz val="8"/>
      <name val="Arial Cyr"/>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36">
    <border>
      <left/>
      <right/>
      <top/>
      <bottom/>
      <diagonal/>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color indexed="63"/>
      </top>
      <bottom>
        <color indexed="63"/>
      </botto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2">
    <xf numFmtId="0" fontId="0" fillId="0" borderId="0" xfId="0" applyAlignment="1">
      <alignment/>
    </xf>
    <xf numFmtId="0" fontId="0" fillId="0" borderId="0" xfId="0" applyBorder="1" applyAlignment="1">
      <alignment/>
    </xf>
    <xf numFmtId="0" fontId="0" fillId="0" borderId="0" xfId="0" applyFill="1" applyAlignment="1">
      <alignment/>
    </xf>
    <xf numFmtId="164" fontId="0" fillId="0" borderId="0" xfId="0" applyNumberFormat="1" applyAlignment="1">
      <alignment/>
    </xf>
    <xf numFmtId="0" fontId="0" fillId="0" borderId="0" xfId="0" applyFill="1" applyAlignment="1">
      <alignment vertical="top"/>
    </xf>
    <xf numFmtId="0" fontId="0" fillId="0" borderId="0" xfId="0" applyAlignment="1">
      <alignment horizontal="center" vertical="center"/>
    </xf>
    <xf numFmtId="164" fontId="0" fillId="0" borderId="0" xfId="0" applyNumberFormat="1" applyBorder="1" applyAlignment="1">
      <alignment/>
    </xf>
    <xf numFmtId="0" fontId="0" fillId="0" borderId="0" xfId="0" applyFill="1" applyBorder="1" applyAlignment="1">
      <alignment/>
    </xf>
    <xf numFmtId="164" fontId="0" fillId="0" borderId="0" xfId="0" applyNumberFormat="1" applyFill="1" applyAlignment="1">
      <alignment/>
    </xf>
    <xf numFmtId="0" fontId="3" fillId="0" borderId="0" xfId="0" applyFont="1" applyBorder="1" applyAlignment="1">
      <alignment wrapText="1"/>
    </xf>
    <xf numFmtId="0" fontId="1" fillId="0" borderId="1" xfId="0" applyFont="1" applyFill="1" applyBorder="1" applyAlignment="1">
      <alignment horizontal="center" wrapText="1"/>
    </xf>
    <xf numFmtId="0" fontId="2" fillId="0" borderId="2" xfId="0" applyFont="1" applyBorder="1" applyAlignment="1">
      <alignment horizontal="center" wrapText="1"/>
    </xf>
    <xf numFmtId="0" fontId="0" fillId="0" borderId="2" xfId="0" applyFont="1" applyBorder="1" applyAlignment="1">
      <alignment/>
    </xf>
    <xf numFmtId="0" fontId="0" fillId="2" borderId="2" xfId="0" applyFont="1" applyFill="1" applyBorder="1" applyAlignment="1">
      <alignment/>
    </xf>
    <xf numFmtId="0" fontId="0" fillId="0" borderId="2" xfId="0" applyFont="1" applyBorder="1" applyAlignment="1">
      <alignment horizontal="left" indent="1"/>
    </xf>
    <xf numFmtId="0" fontId="0" fillId="3" borderId="2" xfId="0" applyFont="1" applyFill="1" applyBorder="1" applyAlignment="1">
      <alignment horizontal="left" indent="1"/>
    </xf>
    <xf numFmtId="0" fontId="2" fillId="0" borderId="3" xfId="0" applyFont="1" applyBorder="1" applyAlignment="1">
      <alignment/>
    </xf>
    <xf numFmtId="0" fontId="1" fillId="0" borderId="4" xfId="0" applyFont="1" applyFill="1" applyBorder="1" applyAlignment="1">
      <alignment horizontal="center" wrapText="1"/>
    </xf>
    <xf numFmtId="0" fontId="0" fillId="0" borderId="0" xfId="0" applyBorder="1" applyAlignment="1">
      <alignment/>
    </xf>
    <xf numFmtId="0" fontId="0" fillId="3" borderId="0" xfId="0" applyFill="1" applyAlignment="1">
      <alignment/>
    </xf>
    <xf numFmtId="0" fontId="3" fillId="3" borderId="0" xfId="0" applyFont="1" applyFill="1" applyBorder="1" applyAlignment="1">
      <alignment wrapText="1"/>
    </xf>
    <xf numFmtId="0" fontId="0" fillId="3" borderId="0" xfId="0" applyFill="1" applyBorder="1" applyAlignment="1">
      <alignment/>
    </xf>
    <xf numFmtId="0" fontId="1" fillId="3" borderId="4" xfId="0" applyFont="1" applyFill="1" applyBorder="1" applyAlignment="1">
      <alignment horizontal="center" wrapText="1"/>
    </xf>
    <xf numFmtId="164" fontId="0" fillId="3" borderId="0" xfId="0" applyNumberFormat="1" applyFill="1" applyBorder="1" applyAlignment="1">
      <alignment/>
    </xf>
    <xf numFmtId="164" fontId="0" fillId="3" borderId="0" xfId="0" applyNumberFormat="1" applyFill="1" applyAlignment="1">
      <alignment/>
    </xf>
    <xf numFmtId="49" fontId="2" fillId="0" borderId="2" xfId="0" applyNumberFormat="1" applyFont="1" applyBorder="1" applyAlignment="1">
      <alignment wrapText="1"/>
    </xf>
    <xf numFmtId="0" fontId="6" fillId="0" borderId="5" xfId="0" applyFont="1" applyBorder="1" applyAlignment="1">
      <alignment horizontal="center" wrapText="1"/>
    </xf>
    <xf numFmtId="0" fontId="7" fillId="3" borderId="6" xfId="0" applyFont="1" applyFill="1" applyBorder="1" applyAlignment="1">
      <alignment horizontal="center"/>
    </xf>
    <xf numFmtId="0" fontId="7" fillId="3" borderId="5" xfId="0" applyFont="1" applyFill="1" applyBorder="1" applyAlignment="1">
      <alignment horizontal="center"/>
    </xf>
    <xf numFmtId="164" fontId="7" fillId="3" borderId="6" xfId="0" applyNumberFormat="1" applyFont="1" applyFill="1" applyBorder="1" applyAlignment="1">
      <alignment horizontal="center"/>
    </xf>
    <xf numFmtId="0" fontId="6" fillId="3" borderId="6" xfId="0" applyFont="1" applyFill="1" applyBorder="1" applyAlignment="1">
      <alignment horizontal="center" wrapText="1"/>
    </xf>
    <xf numFmtId="0" fontId="7" fillId="3" borderId="6" xfId="0" applyFont="1" applyFill="1" applyBorder="1" applyAlignment="1">
      <alignment horizontal="center" wrapText="1"/>
    </xf>
    <xf numFmtId="0" fontId="7" fillId="3" borderId="7" xfId="0" applyFont="1" applyFill="1" applyBorder="1" applyAlignment="1">
      <alignment horizontal="center" wrapText="1"/>
    </xf>
    <xf numFmtId="0" fontId="7" fillId="3" borderId="7" xfId="0" applyFont="1" applyFill="1" applyBorder="1" applyAlignment="1">
      <alignment/>
    </xf>
    <xf numFmtId="0" fontId="7" fillId="3" borderId="6" xfId="0" applyFont="1" applyFill="1" applyBorder="1" applyAlignment="1">
      <alignment/>
    </xf>
    <xf numFmtId="0" fontId="7" fillId="0" borderId="6" xfId="0" applyFont="1" applyFill="1" applyBorder="1" applyAlignment="1">
      <alignment/>
    </xf>
    <xf numFmtId="0" fontId="7" fillId="3" borderId="0" xfId="0" applyFont="1" applyFill="1" applyBorder="1" applyAlignment="1">
      <alignment/>
    </xf>
    <xf numFmtId="164" fontId="7" fillId="3" borderId="7" xfId="0" applyNumberFormat="1" applyFont="1" applyFill="1" applyBorder="1" applyAlignment="1">
      <alignment/>
    </xf>
    <xf numFmtId="0" fontId="7" fillId="3" borderId="8" xfId="0" applyFont="1" applyFill="1" applyBorder="1" applyAlignment="1">
      <alignment/>
    </xf>
    <xf numFmtId="164" fontId="7" fillId="3" borderId="6" xfId="0" applyNumberFormat="1" applyFont="1" applyFill="1" applyBorder="1" applyAlignment="1">
      <alignment/>
    </xf>
    <xf numFmtId="174" fontId="7" fillId="0" borderId="6" xfId="0" applyNumberFormat="1" applyFont="1" applyBorder="1" applyAlignment="1" applyProtection="1">
      <alignment/>
      <protection locked="0"/>
    </xf>
    <xf numFmtId="174" fontId="7" fillId="3" borderId="6" xfId="0" applyNumberFormat="1" applyFont="1" applyFill="1" applyBorder="1" applyAlignment="1" applyProtection="1">
      <alignment/>
      <protection locked="0"/>
    </xf>
    <xf numFmtId="164" fontId="7" fillId="0" borderId="6" xfId="0" applyNumberFormat="1" applyFont="1" applyFill="1" applyBorder="1" applyAlignment="1">
      <alignment/>
    </xf>
    <xf numFmtId="174" fontId="7" fillId="3" borderId="6" xfId="0" applyNumberFormat="1" applyFont="1" applyFill="1" applyBorder="1" applyAlignment="1" applyProtection="1">
      <alignment/>
      <protection locked="0"/>
    </xf>
    <xf numFmtId="4" fontId="7" fillId="0" borderId="6" xfId="0" applyNumberFormat="1" applyFont="1" applyBorder="1" applyAlignment="1" applyProtection="1">
      <alignment/>
      <protection locked="0"/>
    </xf>
    <xf numFmtId="4" fontId="7" fillId="3" borderId="6" xfId="0" applyNumberFormat="1" applyFont="1" applyFill="1" applyBorder="1" applyAlignment="1" applyProtection="1">
      <alignment/>
      <protection locked="0"/>
    </xf>
    <xf numFmtId="164" fontId="7" fillId="0" borderId="6" xfId="0" applyNumberFormat="1" applyFont="1" applyBorder="1" applyAlignment="1" applyProtection="1">
      <alignment/>
      <protection locked="0"/>
    </xf>
    <xf numFmtId="174" fontId="7" fillId="0" borderId="9" xfId="0" applyNumberFormat="1" applyFont="1" applyBorder="1" applyAlignment="1" applyProtection="1">
      <alignment/>
      <protection locked="0"/>
    </xf>
    <xf numFmtId="0" fontId="7" fillId="3" borderId="6" xfId="0" applyNumberFormat="1" applyFont="1" applyFill="1" applyBorder="1" applyAlignment="1">
      <alignment/>
    </xf>
    <xf numFmtId="4" fontId="7" fillId="3" borderId="9" xfId="0" applyNumberFormat="1" applyFont="1" applyFill="1" applyBorder="1" applyAlignment="1" applyProtection="1">
      <alignment/>
      <protection locked="0"/>
    </xf>
    <xf numFmtId="174" fontId="7" fillId="3" borderId="9" xfId="0" applyNumberFormat="1" applyFont="1" applyFill="1" applyBorder="1" applyAlignment="1" applyProtection="1">
      <alignment/>
      <protection locked="0"/>
    </xf>
    <xf numFmtId="0" fontId="7" fillId="3" borderId="10" xfId="0" applyFont="1" applyFill="1" applyBorder="1" applyAlignment="1">
      <alignment/>
    </xf>
    <xf numFmtId="164" fontId="7" fillId="3" borderId="10" xfId="0" applyNumberFormat="1" applyFont="1" applyFill="1" applyBorder="1" applyAlignment="1">
      <alignment/>
    </xf>
    <xf numFmtId="0" fontId="7" fillId="3" borderId="6" xfId="0" applyNumberFormat="1" applyFont="1" applyFill="1" applyBorder="1" applyAlignment="1">
      <alignment horizontal="right"/>
    </xf>
    <xf numFmtId="1" fontId="7" fillId="3" borderId="6" xfId="0" applyNumberFormat="1" applyFont="1" applyFill="1" applyBorder="1" applyAlignment="1">
      <alignment/>
    </xf>
    <xf numFmtId="174" fontId="7" fillId="0" borderId="6" xfId="0" applyNumberFormat="1" applyFont="1" applyFill="1" applyBorder="1" applyAlignment="1">
      <alignment/>
    </xf>
    <xf numFmtId="164" fontId="6" fillId="3" borderId="6" xfId="0" applyNumberFormat="1" applyFont="1" applyFill="1" applyBorder="1" applyAlignment="1">
      <alignment/>
    </xf>
    <xf numFmtId="0" fontId="6" fillId="3" borderId="6" xfId="0" applyFont="1" applyFill="1" applyBorder="1" applyAlignment="1">
      <alignment/>
    </xf>
    <xf numFmtId="164" fontId="6" fillId="3" borderId="11" xfId="0" applyNumberFormat="1" applyFont="1" applyFill="1" applyBorder="1" applyAlignment="1">
      <alignment/>
    </xf>
    <xf numFmtId="164" fontId="6" fillId="3" borderId="12" xfId="0" applyNumberFormat="1" applyFont="1" applyFill="1" applyBorder="1" applyAlignment="1">
      <alignment/>
    </xf>
    <xf numFmtId="0" fontId="7" fillId="0" borderId="6" xfId="0" applyFont="1" applyBorder="1" applyAlignment="1">
      <alignment horizontal="center" vertical="center" wrapText="1"/>
    </xf>
    <xf numFmtId="0" fontId="14" fillId="3" borderId="9" xfId="0" applyFont="1" applyFill="1" applyBorder="1" applyAlignment="1">
      <alignment horizontal="center" vertical="top" wrapText="1"/>
    </xf>
    <xf numFmtId="49" fontId="14" fillId="3" borderId="9" xfId="0" applyNumberFormat="1" applyFont="1" applyFill="1" applyBorder="1" applyAlignment="1">
      <alignment horizontal="center" vertical="top" wrapText="1"/>
    </xf>
    <xf numFmtId="0" fontId="14" fillId="0" borderId="9" xfId="0" applyFont="1" applyFill="1" applyBorder="1" applyAlignment="1">
      <alignment horizontal="center" vertical="top" wrapText="1"/>
    </xf>
    <xf numFmtId="49" fontId="14" fillId="3" borderId="13" xfId="0" applyNumberFormat="1" applyFont="1" applyFill="1" applyBorder="1" applyAlignment="1">
      <alignment horizontal="center" vertical="top" wrapText="1"/>
    </xf>
    <xf numFmtId="49" fontId="14" fillId="3" borderId="8" xfId="0" applyNumberFormat="1" applyFont="1" applyFill="1" applyBorder="1" applyAlignment="1">
      <alignment horizontal="center" vertical="top" wrapText="1"/>
    </xf>
    <xf numFmtId="49" fontId="14" fillId="0" borderId="8" xfId="0" applyNumberFormat="1" applyFont="1" applyFill="1" applyBorder="1" applyAlignment="1">
      <alignment horizontal="center" vertical="top" wrapText="1"/>
    </xf>
    <xf numFmtId="49" fontId="16" fillId="3" borderId="7" xfId="0" applyNumberFormat="1" applyFont="1" applyFill="1" applyBorder="1" applyAlignment="1" applyProtection="1">
      <alignment horizontal="center"/>
      <protection/>
    </xf>
    <xf numFmtId="49" fontId="16" fillId="0" borderId="7" xfId="0" applyNumberFormat="1" applyFont="1" applyFill="1" applyBorder="1" applyAlignment="1" applyProtection="1">
      <alignment horizontal="center"/>
      <protection/>
    </xf>
    <xf numFmtId="1" fontId="16" fillId="3" borderId="7" xfId="0" applyNumberFormat="1" applyFont="1" applyFill="1" applyBorder="1" applyAlignment="1" applyProtection="1" quotePrefix="1">
      <alignment horizontal="center"/>
      <protection/>
    </xf>
    <xf numFmtId="49" fontId="17" fillId="0" borderId="7" xfId="0" applyNumberFormat="1" applyFont="1" applyFill="1" applyBorder="1" applyAlignment="1" applyProtection="1">
      <alignment horizontal="center"/>
      <protection/>
    </xf>
    <xf numFmtId="49" fontId="17" fillId="3" borderId="7" xfId="0" applyNumberFormat="1" applyFont="1" applyFill="1" applyBorder="1" applyAlignment="1" applyProtection="1">
      <alignment horizontal="center"/>
      <protection/>
    </xf>
    <xf numFmtId="49" fontId="17" fillId="0" borderId="6" xfId="0" applyNumberFormat="1" applyFont="1" applyFill="1" applyBorder="1" applyAlignment="1" applyProtection="1">
      <alignment horizontal="center"/>
      <protection/>
    </xf>
    <xf numFmtId="0" fontId="10" fillId="3" borderId="14" xfId="0" applyFont="1" applyFill="1" applyBorder="1" applyAlignment="1">
      <alignment horizontal="center" vertical="top" wrapText="1"/>
    </xf>
    <xf numFmtId="49" fontId="17" fillId="3" borderId="14" xfId="0" applyNumberFormat="1" applyFont="1" applyFill="1" applyBorder="1" applyAlignment="1" applyProtection="1">
      <alignment horizontal="center"/>
      <protection/>
    </xf>
    <xf numFmtId="49" fontId="17" fillId="0" borderId="14" xfId="0" applyNumberFormat="1" applyFont="1" applyFill="1" applyBorder="1" applyAlignment="1" applyProtection="1">
      <alignment horizontal="center"/>
      <protection/>
    </xf>
    <xf numFmtId="49" fontId="17" fillId="3" borderId="15" xfId="0" applyNumberFormat="1" applyFont="1" applyFill="1" applyBorder="1" applyAlignment="1" applyProtection="1">
      <alignment horizontal="center"/>
      <protection/>
    </xf>
    <xf numFmtId="49" fontId="17" fillId="0" borderId="15" xfId="0" applyNumberFormat="1" applyFont="1" applyFill="1" applyBorder="1" applyAlignment="1" applyProtection="1">
      <alignment horizontal="center"/>
      <protection/>
    </xf>
    <xf numFmtId="49" fontId="17" fillId="3" borderId="16" xfId="0" applyNumberFormat="1" applyFont="1" applyFill="1" applyBorder="1" applyAlignment="1" applyProtection="1">
      <alignment horizontal="center"/>
      <protection/>
    </xf>
    <xf numFmtId="49" fontId="17" fillId="0" borderId="16" xfId="0" applyNumberFormat="1" applyFont="1" applyFill="1" applyBorder="1" applyAlignment="1" applyProtection="1">
      <alignment horizontal="center"/>
      <protection/>
    </xf>
    <xf numFmtId="49" fontId="17" fillId="3" borderId="17" xfId="0" applyNumberFormat="1" applyFont="1" applyFill="1" applyBorder="1" applyAlignment="1" applyProtection="1">
      <alignment horizontal="center"/>
      <protection/>
    </xf>
    <xf numFmtId="49" fontId="17" fillId="0" borderId="17" xfId="0" applyNumberFormat="1" applyFont="1" applyFill="1" applyBorder="1" applyAlignment="1" applyProtection="1">
      <alignment horizontal="center"/>
      <protection/>
    </xf>
    <xf numFmtId="49" fontId="17" fillId="3" borderId="6" xfId="0" applyNumberFormat="1" applyFont="1" applyFill="1" applyBorder="1" applyAlignment="1" applyProtection="1">
      <alignment horizontal="center"/>
      <protection/>
    </xf>
    <xf numFmtId="49" fontId="17" fillId="3" borderId="5" xfId="0" applyNumberFormat="1" applyFont="1" applyFill="1" applyBorder="1" applyAlignment="1" applyProtection="1">
      <alignment horizontal="center"/>
      <protection/>
    </xf>
    <xf numFmtId="49" fontId="17" fillId="0" borderId="5" xfId="0" applyNumberFormat="1" applyFont="1" applyFill="1" applyBorder="1" applyAlignment="1" applyProtection="1">
      <alignment horizontal="center"/>
      <protection/>
    </xf>
    <xf numFmtId="0" fontId="10" fillId="3" borderId="7" xfId="0" applyFont="1" applyFill="1" applyBorder="1" applyAlignment="1">
      <alignment horizontal="center" vertical="top" wrapText="1"/>
    </xf>
    <xf numFmtId="49" fontId="15" fillId="0" borderId="7" xfId="0" applyNumberFormat="1" applyFont="1" applyFill="1" applyBorder="1" applyAlignment="1" applyProtection="1">
      <alignment horizontal="center"/>
      <protection/>
    </xf>
    <xf numFmtId="49" fontId="15" fillId="3" borderId="7" xfId="0" applyNumberFormat="1" applyFont="1" applyFill="1" applyBorder="1" applyAlignment="1" applyProtection="1">
      <alignment horizontal="center"/>
      <protection/>
    </xf>
    <xf numFmtId="0" fontId="10" fillId="0" borderId="14" xfId="0" applyFont="1" applyFill="1" applyBorder="1" applyAlignment="1">
      <alignment horizontal="center" vertical="top" wrapText="1"/>
    </xf>
    <xf numFmtId="0" fontId="15" fillId="0" borderId="9" xfId="0" applyFont="1" applyFill="1" applyBorder="1" applyAlignment="1">
      <alignment horizontal="center" vertical="top" wrapText="1"/>
    </xf>
    <xf numFmtId="0" fontId="7" fillId="0" borderId="0" xfId="0" applyFont="1" applyBorder="1" applyAlignment="1">
      <alignment horizontal="center" vertical="center" wrapText="1"/>
    </xf>
    <xf numFmtId="49" fontId="17" fillId="0" borderId="6" xfId="0" applyNumberFormat="1" applyFont="1" applyBorder="1" applyAlignment="1" applyProtection="1">
      <alignment horizontal="center"/>
      <protection/>
    </xf>
    <xf numFmtId="49" fontId="17" fillId="3" borderId="9" xfId="0" applyNumberFormat="1" applyFont="1" applyFill="1" applyBorder="1" applyAlignment="1" applyProtection="1">
      <alignment horizontal="center"/>
      <protection/>
    </xf>
    <xf numFmtId="0" fontId="15" fillId="3" borderId="9"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8" xfId="0" applyFont="1" applyFill="1" applyBorder="1" applyAlignment="1">
      <alignment horizontal="center" vertical="top" wrapText="1"/>
    </xf>
    <xf numFmtId="0" fontId="8" fillId="0" borderId="1" xfId="0" applyFont="1" applyFill="1" applyBorder="1" applyAlignment="1">
      <alignment horizontal="center" wrapText="1"/>
    </xf>
    <xf numFmtId="0" fontId="8" fillId="0" borderId="4" xfId="0" applyFont="1" applyFill="1" applyBorder="1" applyAlignment="1">
      <alignment horizontal="center" wrapText="1"/>
    </xf>
    <xf numFmtId="0" fontId="6" fillId="0" borderId="2" xfId="0" applyFont="1" applyBorder="1" applyAlignment="1">
      <alignment horizontal="center" wrapText="1"/>
    </xf>
    <xf numFmtId="0" fontId="8" fillId="0" borderId="6" xfId="0" applyFont="1" applyFill="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8" fillId="0" borderId="5" xfId="0" applyFont="1" applyFill="1" applyBorder="1" applyAlignment="1">
      <alignment horizontal="center"/>
    </xf>
    <xf numFmtId="0" fontId="7" fillId="0" borderId="2" xfId="0" applyFont="1" applyBorder="1" applyAlignment="1">
      <alignment/>
    </xf>
    <xf numFmtId="164" fontId="7" fillId="0" borderId="5" xfId="0" applyNumberFormat="1" applyFont="1" applyBorder="1" applyAlignment="1">
      <alignment/>
    </xf>
    <xf numFmtId="0" fontId="7" fillId="0" borderId="5" xfId="0" applyFont="1" applyBorder="1" applyAlignment="1">
      <alignment/>
    </xf>
    <xf numFmtId="49" fontId="6" fillId="0" borderId="2" xfId="0" applyNumberFormat="1" applyFont="1" applyBorder="1" applyAlignment="1">
      <alignment wrapText="1"/>
    </xf>
    <xf numFmtId="164" fontId="7" fillId="0" borderId="9" xfId="0" applyNumberFormat="1" applyFont="1" applyFill="1" applyBorder="1" applyAlignment="1">
      <alignment/>
    </xf>
    <xf numFmtId="0" fontId="7" fillId="2" borderId="2" xfId="0" applyFont="1" applyFill="1" applyBorder="1" applyAlignment="1">
      <alignment/>
    </xf>
    <xf numFmtId="0" fontId="7" fillId="0" borderId="2" xfId="0" applyFont="1" applyBorder="1" applyAlignment="1">
      <alignment horizontal="left" indent="1"/>
    </xf>
    <xf numFmtId="0" fontId="7" fillId="0" borderId="5" xfId="0" applyFont="1" applyBorder="1" applyAlignment="1">
      <alignment horizontal="left" indent="1"/>
    </xf>
    <xf numFmtId="0" fontId="7" fillId="3" borderId="2" xfId="0" applyFont="1" applyFill="1" applyBorder="1" applyAlignment="1">
      <alignment horizontal="left" indent="1"/>
    </xf>
    <xf numFmtId="0" fontId="7" fillId="3" borderId="5" xfId="0" applyFont="1" applyFill="1" applyBorder="1" applyAlignment="1">
      <alignment horizontal="left" indent="1"/>
    </xf>
    <xf numFmtId="0" fontId="7" fillId="0" borderId="0" xfId="0" applyFont="1" applyAlignment="1">
      <alignment/>
    </xf>
    <xf numFmtId="0" fontId="7" fillId="0" borderId="0" xfId="0" applyFont="1" applyFill="1" applyAlignment="1">
      <alignment/>
    </xf>
    <xf numFmtId="0" fontId="7" fillId="3" borderId="0" xfId="0" applyFont="1" applyFill="1" applyAlignment="1">
      <alignment/>
    </xf>
    <xf numFmtId="0" fontId="7" fillId="0" borderId="0" xfId="0" applyFont="1" applyFill="1" applyAlignment="1">
      <alignment horizontal="left" wrapText="1"/>
    </xf>
    <xf numFmtId="4" fontId="7" fillId="0" borderId="9" xfId="0" applyNumberFormat="1" applyFont="1" applyBorder="1" applyAlignment="1" applyProtection="1">
      <alignment/>
      <protection locked="0"/>
    </xf>
    <xf numFmtId="174" fontId="7" fillId="0" borderId="9" xfId="0" applyNumberFormat="1" applyFont="1" applyFill="1" applyBorder="1" applyAlignment="1" applyProtection="1">
      <alignment/>
      <protection locked="0"/>
    </xf>
    <xf numFmtId="49" fontId="14" fillId="3" borderId="6" xfId="0" applyNumberFormat="1" applyFont="1" applyFill="1" applyBorder="1" applyAlignment="1">
      <alignment horizontal="center" vertical="top" wrapText="1"/>
    </xf>
    <xf numFmtId="0" fontId="0" fillId="3" borderId="19" xfId="0" applyFill="1" applyBorder="1" applyAlignment="1">
      <alignment/>
    </xf>
    <xf numFmtId="0" fontId="3" fillId="0" borderId="19" xfId="0" applyFont="1" applyBorder="1" applyAlignment="1">
      <alignment/>
    </xf>
    <xf numFmtId="0" fontId="3" fillId="3" borderId="19" xfId="0" applyFont="1" applyFill="1" applyBorder="1" applyAlignment="1">
      <alignment/>
    </xf>
    <xf numFmtId="0" fontId="0" fillId="0" borderId="19" xfId="0" applyBorder="1" applyAlignment="1">
      <alignment/>
    </xf>
    <xf numFmtId="0" fontId="0" fillId="3" borderId="19" xfId="0" applyFill="1" applyBorder="1" applyAlignment="1">
      <alignment/>
    </xf>
    <xf numFmtId="49" fontId="14" fillId="3" borderId="0" xfId="0" applyNumberFormat="1" applyFont="1" applyFill="1" applyBorder="1" applyAlignment="1">
      <alignment horizontal="center" vertical="top" wrapText="1"/>
    </xf>
    <xf numFmtId="164" fontId="7" fillId="3" borderId="5" xfId="0" applyNumberFormat="1" applyFont="1" applyFill="1" applyBorder="1" applyAlignment="1">
      <alignment/>
    </xf>
    <xf numFmtId="0" fontId="0" fillId="0" borderId="20" xfId="0" applyBorder="1" applyAlignment="1">
      <alignment vertical="top"/>
    </xf>
    <xf numFmtId="0" fontId="0" fillId="0" borderId="21" xfId="0" applyBorder="1" applyAlignment="1">
      <alignment vertical="top"/>
    </xf>
    <xf numFmtId="1" fontId="7" fillId="0" borderId="6" xfId="0" applyNumberFormat="1" applyFont="1" applyFill="1" applyBorder="1" applyAlignment="1" applyProtection="1" quotePrefix="1">
      <alignment horizontal="center"/>
      <protection/>
    </xf>
    <xf numFmtId="0" fontId="10" fillId="3" borderId="6" xfId="0" applyFont="1" applyFill="1" applyBorder="1" applyAlignment="1">
      <alignment horizontal="center" vertical="top" wrapText="1"/>
    </xf>
    <xf numFmtId="0" fontId="10" fillId="3" borderId="9" xfId="0" applyFont="1" applyFill="1" applyBorder="1" applyAlignment="1">
      <alignment horizontal="center" vertical="top" wrapText="1"/>
    </xf>
    <xf numFmtId="164" fontId="7" fillId="3" borderId="6" xfId="0" applyNumberFormat="1" applyFont="1" applyFill="1" applyBorder="1" applyAlignment="1">
      <alignment horizontal="right"/>
    </xf>
    <xf numFmtId="0" fontId="6" fillId="3" borderId="5" xfId="0" applyFont="1" applyFill="1" applyBorder="1" applyAlignment="1">
      <alignment horizontal="center" wrapText="1"/>
    </xf>
    <xf numFmtId="174" fontId="7" fillId="3" borderId="6" xfId="0" applyNumberFormat="1" applyFont="1" applyFill="1" applyBorder="1" applyAlignment="1" applyProtection="1">
      <alignment/>
      <protection/>
    </xf>
    <xf numFmtId="164" fontId="7" fillId="3" borderId="6" xfId="0" applyNumberFormat="1" applyFont="1" applyFill="1" applyBorder="1" applyAlignment="1" applyProtection="1">
      <alignment/>
      <protection locked="0"/>
    </xf>
    <xf numFmtId="0" fontId="7" fillId="3" borderId="5" xfId="0" applyFont="1" applyFill="1" applyBorder="1" applyAlignment="1">
      <alignment/>
    </xf>
    <xf numFmtId="164" fontId="7" fillId="3" borderId="6" xfId="17" applyNumberFormat="1" applyFont="1" applyFill="1" applyBorder="1" applyAlignment="1">
      <alignment/>
    </xf>
    <xf numFmtId="174" fontId="7" fillId="3" borderId="6" xfId="0" applyNumberFormat="1" applyFont="1" applyFill="1" applyBorder="1" applyAlignment="1">
      <alignment/>
    </xf>
    <xf numFmtId="174" fontId="7" fillId="3" borderId="11" xfId="0" applyNumberFormat="1" applyFont="1" applyFill="1" applyBorder="1" applyAlignment="1" applyProtection="1">
      <alignment/>
      <protection locked="0"/>
    </xf>
    <xf numFmtId="0" fontId="0" fillId="0" borderId="22" xfId="0" applyBorder="1" applyAlignment="1">
      <alignment horizontal="center" vertical="top" wrapText="1"/>
    </xf>
    <xf numFmtId="0" fontId="0" fillId="0" borderId="23" xfId="0" applyBorder="1" applyAlignment="1">
      <alignment horizontal="center" vertical="top" wrapText="1"/>
    </xf>
    <xf numFmtId="0" fontId="3" fillId="0" borderId="0" xfId="0" applyFont="1" applyBorder="1" applyAlignment="1">
      <alignment horizontal="center" wrapText="1"/>
    </xf>
    <xf numFmtId="0" fontId="3" fillId="3" borderId="0" xfId="0" applyFont="1" applyFill="1" applyBorder="1" applyAlignment="1">
      <alignment horizontal="center" wrapText="1"/>
    </xf>
    <xf numFmtId="164" fontId="7" fillId="0" borderId="7" xfId="0" applyNumberFormat="1" applyFont="1" applyFill="1" applyBorder="1" applyAlignment="1">
      <alignment/>
    </xf>
    <xf numFmtId="0" fontId="7" fillId="0" borderId="10" xfId="0" applyFont="1" applyFill="1" applyBorder="1" applyAlignment="1">
      <alignment/>
    </xf>
    <xf numFmtId="0" fontId="7" fillId="0" borderId="16" xfId="0" applyFont="1" applyFill="1" applyBorder="1" applyAlignment="1">
      <alignment/>
    </xf>
    <xf numFmtId="0" fontId="7" fillId="0" borderId="24" xfId="0" applyFont="1" applyFill="1" applyBorder="1" applyAlignment="1">
      <alignment/>
    </xf>
    <xf numFmtId="0" fontId="7" fillId="0" borderId="25" xfId="0" applyFont="1" applyBorder="1" applyAlignment="1">
      <alignment horizontal="left" indent="1"/>
    </xf>
    <xf numFmtId="164" fontId="7" fillId="0" borderId="26" xfId="0" applyNumberFormat="1" applyFont="1" applyBorder="1" applyAlignment="1">
      <alignment/>
    </xf>
    <xf numFmtId="164" fontId="7" fillId="0" borderId="10" xfId="0" applyNumberFormat="1" applyFont="1" applyFill="1" applyBorder="1" applyAlignment="1">
      <alignment/>
    </xf>
    <xf numFmtId="174" fontId="7" fillId="0" borderId="10" xfId="0" applyNumberFormat="1" applyFont="1" applyBorder="1" applyAlignment="1" applyProtection="1">
      <alignment/>
      <protection locked="0"/>
    </xf>
    <xf numFmtId="174" fontId="7" fillId="3" borderId="10" xfId="0" applyNumberFormat="1" applyFont="1" applyFill="1" applyBorder="1" applyAlignment="1" applyProtection="1">
      <alignment/>
      <protection locked="0"/>
    </xf>
    <xf numFmtId="164" fontId="7" fillId="0" borderId="10" xfId="0" applyNumberFormat="1" applyFont="1" applyBorder="1" applyAlignment="1" applyProtection="1">
      <alignment/>
      <protection locked="0"/>
    </xf>
    <xf numFmtId="0" fontId="7" fillId="0" borderId="26" xfId="0" applyFont="1" applyBorder="1" applyAlignment="1">
      <alignment horizontal="left" indent="1"/>
    </xf>
    <xf numFmtId="174" fontId="7" fillId="0" borderId="10" xfId="0" applyNumberFormat="1" applyFont="1" applyFill="1" applyBorder="1" applyAlignment="1">
      <alignment/>
    </xf>
    <xf numFmtId="164" fontId="7" fillId="0" borderId="16" xfId="0" applyNumberFormat="1" applyFont="1" applyFill="1" applyBorder="1" applyAlignment="1">
      <alignment/>
    </xf>
    <xf numFmtId="0" fontId="6" fillId="0" borderId="6" xfId="0" applyFont="1" applyBorder="1" applyAlignment="1">
      <alignment/>
    </xf>
    <xf numFmtId="164" fontId="6" fillId="0" borderId="6" xfId="0" applyNumberFormat="1" applyFont="1" applyFill="1" applyBorder="1" applyAlignment="1">
      <alignment/>
    </xf>
    <xf numFmtId="0" fontId="14" fillId="3" borderId="16" xfId="0" applyFont="1" applyFill="1" applyBorder="1" applyAlignment="1">
      <alignment horizontal="center" vertical="top" wrapText="1"/>
    </xf>
    <xf numFmtId="0" fontId="11" fillId="0" borderId="27" xfId="0" applyFont="1" applyBorder="1" applyAlignment="1">
      <alignment horizontal="center" vertical="top" wrapText="1"/>
    </xf>
    <xf numFmtId="0" fontId="21" fillId="0" borderId="0" xfId="0" applyFont="1" applyBorder="1" applyAlignment="1">
      <alignment vertical="top"/>
    </xf>
    <xf numFmtId="0" fontId="0" fillId="0" borderId="0" xfId="0" applyAlignment="1">
      <alignment/>
    </xf>
    <xf numFmtId="0" fontId="0" fillId="0" borderId="8" xfId="0" applyBorder="1" applyAlignment="1">
      <alignment/>
    </xf>
    <xf numFmtId="0" fontId="11" fillId="0" borderId="22" xfId="0" applyFont="1" applyBorder="1" applyAlignment="1">
      <alignment horizontal="center" vertical="top" wrapText="1"/>
    </xf>
    <xf numFmtId="0" fontId="0" fillId="0" borderId="22" xfId="0" applyBorder="1" applyAlignment="1">
      <alignment horizontal="center" vertical="top" wrapText="1"/>
    </xf>
    <xf numFmtId="0" fontId="0" fillId="0" borderId="22" xfId="0" applyBorder="1" applyAlignment="1">
      <alignment vertical="top"/>
    </xf>
    <xf numFmtId="0" fontId="11" fillId="3" borderId="22" xfId="0" applyFont="1" applyFill="1" applyBorder="1" applyAlignment="1">
      <alignment horizontal="center" vertical="top" wrapText="1"/>
    </xf>
    <xf numFmtId="0" fontId="21" fillId="0" borderId="22" xfId="0" applyFont="1" applyBorder="1" applyAlignment="1">
      <alignment vertical="top"/>
    </xf>
    <xf numFmtId="0" fontId="21" fillId="0" borderId="23" xfId="0" applyFont="1" applyBorder="1" applyAlignment="1">
      <alignment vertical="top"/>
    </xf>
    <xf numFmtId="0" fontId="11" fillId="0" borderId="28" xfId="0" applyFont="1" applyBorder="1" applyAlignment="1">
      <alignment horizontal="center" vertical="top" wrapText="1"/>
    </xf>
    <xf numFmtId="0" fontId="13" fillId="0" borderId="28" xfId="0" applyFont="1" applyBorder="1" applyAlignment="1">
      <alignment horizontal="center" vertical="top" wrapText="1"/>
    </xf>
    <xf numFmtId="0" fontId="1" fillId="0" borderId="22" xfId="0" applyFont="1" applyBorder="1" applyAlignment="1">
      <alignment horizontal="center" vertical="top" wrapText="1"/>
    </xf>
    <xf numFmtId="0" fontId="3" fillId="0" borderId="0" xfId="0" applyFont="1" applyBorder="1" applyAlignment="1">
      <alignment horizontal="center" wrapText="1"/>
    </xf>
    <xf numFmtId="0" fontId="0" fillId="0" borderId="0" xfId="0" applyBorder="1" applyAlignment="1">
      <alignment wrapText="1"/>
    </xf>
    <xf numFmtId="0" fontId="0" fillId="0" borderId="19" xfId="0" applyBorder="1" applyAlignment="1">
      <alignment/>
    </xf>
    <xf numFmtId="0" fontId="14" fillId="3" borderId="26" xfId="0" applyFont="1" applyFill="1" applyBorder="1" applyAlignment="1">
      <alignment horizontal="center" vertical="top" wrapText="1"/>
    </xf>
    <xf numFmtId="0" fontId="14" fillId="3" borderId="27"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3" borderId="4" xfId="0" applyFont="1" applyFill="1" applyBorder="1" applyAlignment="1">
      <alignment horizontal="center" vertical="top" wrapText="1"/>
    </xf>
    <xf numFmtId="0" fontId="12" fillId="3" borderId="28" xfId="0" applyFont="1" applyFill="1" applyBorder="1" applyAlignment="1">
      <alignment horizontal="center" vertical="top" wrapText="1"/>
    </xf>
    <xf numFmtId="0" fontId="7" fillId="3" borderId="23" xfId="0" applyFont="1" applyFill="1" applyBorder="1" applyAlignment="1">
      <alignment horizontal="center" vertical="top" wrapText="1"/>
    </xf>
    <xf numFmtId="0" fontId="10" fillId="3" borderId="16" xfId="0" applyFont="1" applyFill="1" applyBorder="1" applyAlignment="1">
      <alignment horizontal="center" vertical="top" wrapText="1"/>
    </xf>
    <xf numFmtId="0" fontId="7" fillId="3" borderId="26" xfId="0" applyFont="1" applyFill="1" applyBorder="1" applyAlignment="1">
      <alignment horizontal="center" vertical="top" wrapText="1"/>
    </xf>
    <xf numFmtId="0" fontId="7" fillId="3" borderId="2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4" xfId="0" applyFont="1" applyFill="1" applyBorder="1" applyAlignment="1">
      <alignment horizontal="center" vertical="top" wrapText="1"/>
    </xf>
    <xf numFmtId="0" fontId="9" fillId="0" borderId="28" xfId="0" applyFont="1" applyBorder="1" applyAlignment="1">
      <alignment horizontal="center" vertical="top" wrapText="1"/>
    </xf>
    <xf numFmtId="0" fontId="0" fillId="0" borderId="22" xfId="0" applyBorder="1" applyAlignment="1">
      <alignment/>
    </xf>
    <xf numFmtId="0" fontId="0" fillId="0" borderId="23" xfId="0" applyBorder="1" applyAlignment="1">
      <alignment/>
    </xf>
    <xf numFmtId="0" fontId="0" fillId="0" borderId="23" xfId="0" applyBorder="1" applyAlignment="1">
      <alignment vertical="top"/>
    </xf>
    <xf numFmtId="0" fontId="23" fillId="3" borderId="16" xfId="0" applyNumberFormat="1" applyFont="1" applyFill="1" applyBorder="1" applyAlignment="1">
      <alignment horizontal="center" vertical="top" wrapText="1"/>
    </xf>
    <xf numFmtId="0" fontId="23" fillId="3" borderId="26" xfId="0" applyFont="1" applyFill="1" applyBorder="1" applyAlignment="1">
      <alignment horizontal="center" vertical="top" wrapText="1"/>
    </xf>
    <xf numFmtId="0" fontId="23" fillId="3" borderId="27" xfId="0" applyFont="1" applyFill="1" applyBorder="1" applyAlignment="1">
      <alignment horizontal="center" vertical="top" wrapText="1"/>
    </xf>
    <xf numFmtId="0" fontId="23" fillId="3" borderId="8" xfId="0" applyFont="1" applyFill="1" applyBorder="1" applyAlignment="1">
      <alignment horizontal="center" vertical="top" wrapText="1"/>
    </xf>
    <xf numFmtId="0" fontId="23" fillId="3" borderId="14" xfId="0" applyFont="1" applyFill="1" applyBorder="1" applyAlignment="1">
      <alignment horizontal="center" vertical="top" wrapText="1"/>
    </xf>
    <xf numFmtId="0" fontId="23" fillId="3" borderId="4" xfId="0" applyFont="1" applyFill="1" applyBorder="1" applyAlignment="1">
      <alignment horizontal="center" vertical="top" wrapText="1"/>
    </xf>
    <xf numFmtId="0" fontId="8" fillId="3" borderId="16" xfId="0" applyNumberFormat="1" applyFont="1" applyFill="1" applyBorder="1" applyAlignment="1">
      <alignment horizontal="center" vertical="top" wrapText="1"/>
    </xf>
    <xf numFmtId="0" fontId="8" fillId="3" borderId="16"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27"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4" xfId="0" applyFont="1" applyFill="1" applyBorder="1" applyAlignment="1">
      <alignment horizontal="center" vertical="top" wrapText="1"/>
    </xf>
    <xf numFmtId="0" fontId="27" fillId="0" borderId="22" xfId="0" applyFont="1" applyBorder="1" applyAlignment="1">
      <alignment horizontal="center" vertical="top" wrapText="1"/>
    </xf>
    <xf numFmtId="49" fontId="14" fillId="3" borderId="10"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4" fillId="3" borderId="16" xfId="0" applyNumberFormat="1" applyFont="1" applyFill="1" applyBorder="1" applyAlignment="1">
      <alignment horizontal="center" vertical="top" wrapText="1"/>
    </xf>
    <xf numFmtId="0" fontId="8" fillId="0" borderId="6" xfId="0" applyFont="1" applyFill="1" applyBorder="1" applyAlignment="1">
      <alignment horizontal="center" vertical="center" wrapText="1"/>
    </xf>
    <xf numFmtId="0" fontId="19" fillId="3" borderId="16" xfId="0" applyNumberFormat="1" applyFont="1" applyFill="1" applyBorder="1" applyAlignment="1">
      <alignment horizontal="center" vertical="top" wrapText="1"/>
    </xf>
    <xf numFmtId="0" fontId="19" fillId="3" borderId="26" xfId="0" applyFont="1" applyFill="1" applyBorder="1" applyAlignment="1">
      <alignment horizontal="center" vertical="top" wrapText="1"/>
    </xf>
    <xf numFmtId="0" fontId="19" fillId="3" borderId="27" xfId="0" applyFont="1" applyFill="1" applyBorder="1" applyAlignment="1">
      <alignment horizontal="center" vertical="top" wrapText="1"/>
    </xf>
    <xf numFmtId="0" fontId="19" fillId="3" borderId="8"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3" borderId="4" xfId="0" applyFont="1" applyFill="1" applyBorder="1" applyAlignment="1">
      <alignment horizontal="center" vertical="top" wrapText="1"/>
    </xf>
    <xf numFmtId="0" fontId="7" fillId="3" borderId="9" xfId="0" applyFont="1" applyFill="1" applyBorder="1" applyAlignment="1">
      <alignment horizontal="center" vertical="center" wrapText="1"/>
    </xf>
    <xf numFmtId="164" fontId="14" fillId="3" borderId="10" xfId="0" applyNumberFormat="1" applyFont="1" applyFill="1" applyBorder="1" applyAlignment="1">
      <alignment horizontal="center" vertical="center" wrapText="1"/>
    </xf>
    <xf numFmtId="0" fontId="14" fillId="3" borderId="6" xfId="0" applyFont="1" applyFill="1" applyBorder="1" applyAlignment="1">
      <alignment horizontal="center" vertical="top" wrapText="1"/>
    </xf>
    <xf numFmtId="0" fontId="19" fillId="3" borderId="16" xfId="0" applyFont="1" applyFill="1" applyBorder="1" applyAlignment="1">
      <alignment horizontal="center" vertical="top" wrapText="1"/>
    </xf>
    <xf numFmtId="0" fontId="14" fillId="3" borderId="6" xfId="0" applyNumberFormat="1" applyFont="1" applyFill="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8"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8" xfId="0" applyBorder="1" applyAlignment="1">
      <alignment horizontal="center" vertical="top" wrapText="1"/>
    </xf>
    <xf numFmtId="0" fontId="0" fillId="0" borderId="14" xfId="0" applyBorder="1" applyAlignment="1">
      <alignment horizontal="center" vertical="top" wrapText="1"/>
    </xf>
    <xf numFmtId="0" fontId="0" fillId="0" borderId="4" xfId="0" applyBorder="1" applyAlignment="1">
      <alignment horizontal="center" vertical="top" wrapText="1"/>
    </xf>
    <xf numFmtId="49" fontId="8" fillId="0" borderId="6"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25" fillId="0" borderId="28" xfId="0" applyFont="1" applyFill="1" applyBorder="1" applyAlignment="1">
      <alignment horizontal="center" vertical="top" wrapText="1"/>
    </xf>
    <xf numFmtId="0" fontId="26" fillId="0" borderId="23" xfId="0" applyFont="1" applyBorder="1" applyAlignment="1">
      <alignment horizontal="center" vertical="top" wrapText="1"/>
    </xf>
    <xf numFmtId="0" fontId="9" fillId="0" borderId="14" xfId="0" applyFont="1" applyBorder="1" applyAlignment="1">
      <alignment horizontal="center" vertical="top" wrapText="1"/>
    </xf>
    <xf numFmtId="0" fontId="0" fillId="0" borderId="17" xfId="0" applyBorder="1" applyAlignment="1">
      <alignment horizontal="center" wrapText="1"/>
    </xf>
    <xf numFmtId="0" fontId="0" fillId="0" borderId="4" xfId="0" applyBorder="1" applyAlignment="1">
      <alignment horizontal="center" wrapText="1"/>
    </xf>
    <xf numFmtId="0" fontId="9" fillId="0" borderId="22" xfId="0" applyFont="1" applyBorder="1" applyAlignment="1">
      <alignment horizontal="center" vertical="top" wrapText="1"/>
    </xf>
    <xf numFmtId="0" fontId="8" fillId="0" borderId="29"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6" xfId="0" applyFont="1" applyBorder="1" applyAlignment="1">
      <alignment vertical="top"/>
    </xf>
    <xf numFmtId="0" fontId="1" fillId="0" borderId="27" xfId="0" applyFont="1" applyBorder="1" applyAlignment="1">
      <alignment vertical="top"/>
    </xf>
    <xf numFmtId="0" fontId="1" fillId="0" borderId="8" xfId="0" applyFont="1" applyBorder="1" applyAlignment="1">
      <alignment vertical="top"/>
    </xf>
    <xf numFmtId="0" fontId="1" fillId="0" borderId="14" xfId="0" applyFont="1" applyBorder="1" applyAlignment="1">
      <alignment vertical="top"/>
    </xf>
    <xf numFmtId="0" fontId="1" fillId="0" borderId="4" xfId="0" applyFont="1" applyBorder="1" applyAlignment="1">
      <alignment vertical="top"/>
    </xf>
    <xf numFmtId="49" fontId="8" fillId="3" borderId="6"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3" borderId="26" xfId="0" applyFont="1" applyFill="1" applyBorder="1" applyAlignment="1">
      <alignment/>
    </xf>
    <xf numFmtId="0" fontId="7" fillId="3" borderId="27" xfId="0" applyFont="1" applyFill="1" applyBorder="1" applyAlignment="1">
      <alignment/>
    </xf>
    <xf numFmtId="0" fontId="7" fillId="3" borderId="8" xfId="0" applyFont="1" applyFill="1" applyBorder="1" applyAlignment="1">
      <alignment/>
    </xf>
    <xf numFmtId="0" fontId="7" fillId="3" borderId="14" xfId="0" applyFont="1" applyFill="1" applyBorder="1" applyAlignment="1">
      <alignment/>
    </xf>
    <xf numFmtId="0" fontId="7" fillId="3" borderId="4" xfId="0" applyFont="1" applyFill="1" applyBorder="1" applyAlignment="1">
      <alignment/>
    </xf>
    <xf numFmtId="49" fontId="8" fillId="3" borderId="26"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0" borderId="26" xfId="0" applyBorder="1" applyAlignment="1">
      <alignment vertical="top"/>
    </xf>
    <xf numFmtId="0" fontId="0" fillId="0" borderId="27" xfId="0" applyBorder="1" applyAlignment="1">
      <alignment vertical="top"/>
    </xf>
    <xf numFmtId="0" fontId="0" fillId="0" borderId="8" xfId="0" applyBorder="1" applyAlignment="1">
      <alignment vertical="top"/>
    </xf>
    <xf numFmtId="0" fontId="0" fillId="0" borderId="14" xfId="0" applyBorder="1" applyAlignment="1">
      <alignment vertical="top"/>
    </xf>
    <xf numFmtId="0" fontId="0" fillId="0" borderId="4" xfId="0" applyBorder="1" applyAlignment="1">
      <alignment vertical="top"/>
    </xf>
    <xf numFmtId="0" fontId="18" fillId="3" borderId="16" xfId="0" applyNumberFormat="1" applyFont="1" applyFill="1" applyBorder="1" applyAlignment="1">
      <alignment horizontal="center" vertical="top" wrapText="1"/>
    </xf>
    <xf numFmtId="0" fontId="18" fillId="3" borderId="26" xfId="0" applyFont="1" applyFill="1" applyBorder="1" applyAlignment="1">
      <alignment horizontal="center" vertical="top" wrapText="1"/>
    </xf>
    <xf numFmtId="0" fontId="18" fillId="3" borderId="27" xfId="0"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3" borderId="14" xfId="0" applyFont="1" applyFill="1" applyBorder="1" applyAlignment="1">
      <alignment horizontal="center" vertical="top" wrapText="1"/>
    </xf>
    <xf numFmtId="0" fontId="18" fillId="3" borderId="4" xfId="0" applyFont="1" applyFill="1" applyBorder="1" applyAlignment="1">
      <alignment horizontal="center" vertical="top" wrapText="1"/>
    </xf>
    <xf numFmtId="0" fontId="14" fillId="3" borderId="6" xfId="0" applyFont="1" applyFill="1" applyBorder="1" applyAlignment="1">
      <alignment/>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4" xfId="0" applyFont="1" applyFill="1" applyBorder="1" applyAlignment="1">
      <alignment horizontal="center"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4" fillId="0" borderId="28" xfId="0" applyFont="1" applyBorder="1" applyAlignment="1">
      <alignment horizontal="center" vertical="top" wrapText="1"/>
    </xf>
    <xf numFmtId="0" fontId="20" fillId="0" borderId="22" xfId="0" applyFont="1" applyBorder="1" applyAlignment="1">
      <alignment horizontal="center" vertical="top" wrapText="1"/>
    </xf>
    <xf numFmtId="0" fontId="20" fillId="0" borderId="23" xfId="0" applyFont="1" applyBorder="1" applyAlignment="1">
      <alignment horizontal="center" vertical="top" wrapText="1"/>
    </xf>
    <xf numFmtId="0" fontId="7" fillId="3" borderId="6" xfId="0" applyFont="1" applyFill="1" applyBorder="1" applyAlignment="1">
      <alignment horizontal="center" vertical="top" wrapText="1"/>
    </xf>
    <xf numFmtId="0" fontId="22" fillId="3" borderId="6" xfId="0" applyNumberFormat="1" applyFont="1" applyFill="1" applyBorder="1" applyAlignment="1">
      <alignment horizontal="center" vertical="top" wrapText="1"/>
    </xf>
    <xf numFmtId="0" fontId="22" fillId="3" borderId="6" xfId="0" applyFont="1" applyFill="1" applyBorder="1" applyAlignment="1">
      <alignment horizontal="center" vertical="top" wrapText="1"/>
    </xf>
    <xf numFmtId="0" fontId="19" fillId="3" borderId="6" xfId="0" applyNumberFormat="1" applyFont="1" applyFill="1" applyBorder="1" applyAlignment="1">
      <alignment horizontal="center" vertical="top" wrapText="1"/>
    </xf>
    <xf numFmtId="0" fontId="19" fillId="3" borderId="6" xfId="0" applyFont="1" applyFill="1" applyBorder="1" applyAlignment="1">
      <alignment horizontal="center" vertical="top" wrapText="1"/>
    </xf>
    <xf numFmtId="0" fontId="10" fillId="3" borderId="6"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8" xfId="0" applyFont="1" applyFill="1" applyBorder="1" applyAlignment="1">
      <alignment horizontal="center" vertical="top" wrapText="1"/>
    </xf>
    <xf numFmtId="0" fontId="0" fillId="0" borderId="23" xfId="0" applyBorder="1" applyAlignment="1">
      <alignment horizontal="center" vertical="top" wrapText="1"/>
    </xf>
    <xf numFmtId="0" fontId="13" fillId="0" borderId="28" xfId="0" applyFont="1" applyFill="1" applyBorder="1" applyAlignment="1">
      <alignment horizontal="center" vertical="top" wrapText="1"/>
    </xf>
    <xf numFmtId="0" fontId="1" fillId="0" borderId="23" xfId="0" applyFont="1" applyBorder="1" applyAlignment="1">
      <alignment horizontal="center" vertical="top" wrapText="1"/>
    </xf>
    <xf numFmtId="0" fontId="11" fillId="0" borderId="28" xfId="0" applyFont="1" applyFill="1" applyBorder="1" applyAlignment="1">
      <alignment horizontal="center" vertical="top" wrapText="1"/>
    </xf>
    <xf numFmtId="0" fontId="24" fillId="3" borderId="28" xfId="0" applyFont="1" applyFill="1" applyBorder="1" applyAlignment="1">
      <alignment horizontal="center" vertical="top" wrapText="1"/>
    </xf>
    <xf numFmtId="0" fontId="20" fillId="3" borderId="23" xfId="0" applyFont="1" applyFill="1" applyBorder="1" applyAlignment="1">
      <alignment horizontal="center" vertical="top" wrapText="1"/>
    </xf>
    <xf numFmtId="0" fontId="6" fillId="0" borderId="30" xfId="0" applyFont="1" applyFill="1" applyBorder="1" applyAlignment="1">
      <alignment horizontal="center" vertical="top" wrapText="1"/>
    </xf>
    <xf numFmtId="0" fontId="7" fillId="0" borderId="21" xfId="0" applyFont="1" applyBorder="1" applyAlignment="1">
      <alignment horizontal="center" vertical="top" wrapText="1"/>
    </xf>
    <xf numFmtId="0" fontId="8" fillId="0" borderId="31" xfId="0" applyFont="1" applyFill="1" applyBorder="1" applyAlignment="1">
      <alignment horizontal="center" vertical="center" wrapText="1"/>
    </xf>
    <xf numFmtId="0" fontId="8" fillId="3" borderId="6" xfId="0" applyNumberFormat="1" applyFont="1" applyFill="1" applyBorder="1" applyAlignment="1">
      <alignment horizontal="center" vertical="top" wrapText="1"/>
    </xf>
    <xf numFmtId="0" fontId="7" fillId="3" borderId="6" xfId="0" applyFont="1" applyFill="1" applyBorder="1" applyAlignment="1">
      <alignment horizontal="center" wrapText="1"/>
    </xf>
    <xf numFmtId="0" fontId="15" fillId="0" borderId="16" xfId="0" applyFont="1" applyFill="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7" fillId="0" borderId="4" xfId="0" applyFont="1" applyBorder="1" applyAlignment="1">
      <alignment horizontal="center" vertical="top" wrapText="1"/>
    </xf>
    <xf numFmtId="0" fontId="6" fillId="0" borderId="28" xfId="0" applyFont="1" applyFill="1" applyBorder="1" applyAlignment="1">
      <alignment horizontal="center" vertical="center" wrapText="1"/>
    </xf>
    <xf numFmtId="0" fontId="7" fillId="0" borderId="22" xfId="0" applyFont="1" applyBorder="1" applyAlignment="1">
      <alignment horizontal="center" wrapText="1"/>
    </xf>
    <xf numFmtId="0" fontId="7" fillId="0" borderId="32" xfId="0" applyFont="1" applyBorder="1" applyAlignment="1">
      <alignment horizontal="center"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49" fontId="18" fillId="0" borderId="9"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0" fillId="3" borderId="26" xfId="0" applyFont="1" applyFill="1" applyBorder="1" applyAlignment="1">
      <alignment horizontal="center" vertical="top" wrapText="1"/>
    </xf>
    <xf numFmtId="0" fontId="10" fillId="3" borderId="27" xfId="0"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4" xfId="0" applyFont="1" applyFill="1" applyBorder="1" applyAlignment="1">
      <alignment horizontal="center" vertical="top" wrapText="1"/>
    </xf>
    <xf numFmtId="0" fontId="7" fillId="0" borderId="0" xfId="0" applyFont="1" applyFill="1" applyAlignment="1">
      <alignment horizontal="left" wrapText="1"/>
    </xf>
    <xf numFmtId="0" fontId="0" fillId="0" borderId="22" xfId="0" applyBorder="1" applyAlignment="1">
      <alignment horizontal="center" wrapText="1"/>
    </xf>
    <xf numFmtId="0" fontId="11" fillId="0" borderId="22" xfId="0" applyFont="1" applyFill="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HY161"/>
  <sheetViews>
    <sheetView tabSelected="1" view="pageBreakPreview" zoomScaleSheetLayoutView="100" workbookViewId="0" topLeftCell="A1">
      <selection activeCell="BE84" sqref="BE84"/>
    </sheetView>
  </sheetViews>
  <sheetFormatPr defaultColWidth="9.00390625" defaultRowHeight="12.75"/>
  <cols>
    <col min="1" max="1" width="24.125" style="0" customWidth="1"/>
    <col min="2" max="2" width="11.25390625" style="0" customWidth="1"/>
    <col min="3" max="3" width="9.625" style="0" customWidth="1"/>
    <col min="4" max="4" width="10.75390625" style="19" customWidth="1"/>
    <col min="5" max="5" width="9.625" style="0" customWidth="1"/>
    <col min="6" max="6" width="11.625" style="19" customWidth="1"/>
    <col min="7" max="7" width="9.25390625" style="0" customWidth="1"/>
    <col min="8" max="8" width="8.25390625" style="19" customWidth="1"/>
    <col min="9" max="9" width="9.00390625" style="0" customWidth="1"/>
    <col min="10" max="10" width="14.00390625" style="19" customWidth="1"/>
    <col min="11" max="11" width="14.375" style="0" customWidth="1"/>
    <col min="12" max="12" width="13.375" style="19" customWidth="1"/>
    <col min="13" max="13" width="14.75390625" style="0" customWidth="1"/>
    <col min="14" max="14" width="10.75390625" style="19" customWidth="1"/>
    <col min="15" max="15" width="12.00390625" style="0" customWidth="1"/>
    <col min="16" max="16" width="10.625" style="19" customWidth="1"/>
    <col min="17" max="17" width="9.75390625" style="0" customWidth="1"/>
    <col min="18" max="18" width="12.375" style="19" customWidth="1"/>
    <col min="19" max="19" width="13.75390625" style="0" customWidth="1"/>
    <col min="20" max="20" width="11.25390625" style="19" customWidth="1"/>
    <col min="21" max="21" width="13.625" style="0" customWidth="1"/>
    <col min="22" max="22" width="12.00390625" style="19" customWidth="1"/>
    <col min="23" max="23" width="13.25390625" style="0" customWidth="1"/>
    <col min="24" max="24" width="10.75390625" style="19" customWidth="1"/>
    <col min="25" max="25" width="12.25390625" style="0" customWidth="1"/>
    <col min="26" max="26" width="13.375" style="19" customWidth="1"/>
    <col min="27" max="27" width="14.125" style="0" customWidth="1"/>
    <col min="28" max="28" width="11.375" style="19" customWidth="1"/>
    <col min="29" max="29" width="12.25390625" style="0" customWidth="1"/>
    <col min="30" max="30" width="10.125" style="19" customWidth="1"/>
    <col min="31" max="31" width="9.875" style="0" customWidth="1"/>
    <col min="32" max="32" width="8.00390625" style="19" customWidth="1"/>
    <col min="33" max="33" width="9.625" style="0" customWidth="1"/>
    <col min="34" max="35" width="9.375" style="19" customWidth="1"/>
    <col min="36" max="36" width="7.375" style="19" customWidth="1"/>
    <col min="37" max="37" width="9.75390625" style="0" customWidth="1"/>
    <col min="38" max="38" width="7.625" style="19" customWidth="1"/>
    <col min="39" max="39" width="9.875" style="0" customWidth="1"/>
    <col min="40" max="40" width="7.75390625" style="19" customWidth="1"/>
    <col min="41" max="41" width="8.875" style="3" customWidth="1"/>
    <col min="42" max="42" width="9.625" style="24" customWidth="1"/>
    <col min="43" max="43" width="13.25390625" style="0" customWidth="1"/>
    <col min="44" max="44" width="7.375" style="19" customWidth="1"/>
    <col min="45" max="45" width="9.875" style="0" customWidth="1"/>
    <col min="46" max="46" width="9.00390625" style="19" customWidth="1"/>
    <col min="47" max="47" width="9.75390625" style="0" customWidth="1"/>
    <col min="48" max="48" width="10.75390625" style="19" customWidth="1"/>
    <col min="49" max="49" width="10.625" style="0" customWidth="1"/>
    <col min="50" max="50" width="9.375" style="19" customWidth="1"/>
    <col min="51" max="51" width="10.375" style="0" customWidth="1"/>
    <col min="52" max="52" width="8.00390625" style="19" customWidth="1"/>
    <col min="53" max="53" width="9.00390625" style="19" customWidth="1"/>
    <col min="54" max="54" width="13.125" style="19" customWidth="1"/>
    <col min="55" max="55" width="14.00390625" style="19" customWidth="1"/>
    <col min="56" max="56" width="9.875" style="19" customWidth="1"/>
    <col min="57" max="57" width="9.00390625" style="2" customWidth="1"/>
    <col min="58" max="58" width="7.375" style="19" customWidth="1"/>
    <col min="59" max="59" width="9.25390625" style="0" customWidth="1"/>
    <col min="60" max="60" width="10.375" style="19" customWidth="1"/>
    <col min="61" max="61" width="8.875" style="0" customWidth="1"/>
    <col min="62" max="62" width="10.25390625" style="19" customWidth="1"/>
    <col min="63" max="63" width="11.375" style="0" customWidth="1"/>
    <col min="64" max="64" width="13.375" style="19" customWidth="1"/>
    <col min="65" max="65" width="13.25390625" style="0" customWidth="1"/>
    <col min="66" max="66" width="13.25390625" style="19" customWidth="1"/>
    <col min="67" max="67" width="13.875" style="0" customWidth="1"/>
    <col min="68" max="68" width="11.125" style="19" customWidth="1"/>
    <col min="69" max="69" width="10.25390625" style="0" customWidth="1"/>
    <col min="70" max="70" width="11.25390625" style="19" customWidth="1"/>
    <col min="71" max="71" width="11.875" style="0" customWidth="1"/>
    <col min="72" max="72" width="9.75390625" style="19" customWidth="1"/>
    <col min="73" max="73" width="9.75390625" style="0" customWidth="1"/>
    <col min="74" max="74" width="8.625" style="19" customWidth="1"/>
    <col min="75" max="75" width="11.375" style="0" customWidth="1"/>
    <col min="76" max="76" width="8.75390625" style="19" customWidth="1"/>
    <col min="77" max="77" width="10.00390625" style="0" customWidth="1"/>
    <col min="78" max="78" width="9.00390625" style="19" customWidth="1"/>
    <col min="79" max="79" width="10.625" style="0" customWidth="1"/>
    <col min="80" max="80" width="11.125" style="19" customWidth="1"/>
    <col min="81" max="81" width="13.00390625" style="0" customWidth="1"/>
    <col min="82" max="82" width="10.25390625" style="19" customWidth="1"/>
    <col min="83" max="83" width="10.75390625" style="0" customWidth="1"/>
    <col min="84" max="84" width="14.125" style="19" customWidth="1"/>
    <col min="85" max="85" width="12.875" style="19" customWidth="1"/>
    <col min="86" max="86" width="9.875" style="19" customWidth="1"/>
    <col min="87" max="87" width="9.875" style="0" customWidth="1"/>
    <col min="88" max="88" width="8.375" style="19" customWidth="1"/>
    <col min="89" max="89" width="9.375" style="0" customWidth="1"/>
    <col min="90" max="90" width="9.125" style="19" customWidth="1"/>
    <col min="91" max="91" width="9.75390625" style="0" customWidth="1"/>
    <col min="92" max="92" width="7.875" style="19" customWidth="1"/>
    <col min="93" max="93" width="9.00390625" style="0" customWidth="1"/>
    <col min="94" max="94" width="12.125" style="19" customWidth="1"/>
    <col min="95" max="95" width="11.875" style="0" customWidth="1"/>
    <col min="96" max="96" width="14.625" style="19" customWidth="1"/>
    <col min="97" max="97" width="12.375" style="0" customWidth="1"/>
    <col min="98" max="98" width="9.75390625" style="19" customWidth="1"/>
    <col min="99" max="99" width="12.00390625" style="0" customWidth="1"/>
    <col min="100" max="100" width="8.375" style="19" customWidth="1"/>
    <col min="101" max="101" width="9.625" style="0" customWidth="1"/>
    <col min="102" max="102" width="9.25390625" style="19" customWidth="1"/>
    <col min="103" max="103" width="9.375" style="0" customWidth="1"/>
    <col min="104" max="104" width="10.00390625" style="19" customWidth="1"/>
    <col min="105" max="105" width="11.25390625" style="0" customWidth="1"/>
    <col min="106" max="106" width="7.125" style="19" customWidth="1"/>
    <col min="107" max="107" width="9.625" style="0" customWidth="1"/>
    <col min="108" max="108" width="8.75390625" style="19" customWidth="1"/>
    <col min="109" max="109" width="9.75390625" style="0" customWidth="1"/>
    <col min="110" max="110" width="10.00390625" style="19" customWidth="1"/>
    <col min="111" max="111" width="10.625" style="19" customWidth="1"/>
    <col min="112" max="112" width="10.125" style="19" customWidth="1"/>
    <col min="113" max="113" width="11.00390625" style="0" customWidth="1"/>
    <col min="114" max="114" width="9.00390625" style="19" customWidth="1"/>
    <col min="115" max="115" width="10.25390625" style="19" customWidth="1"/>
    <col min="116" max="116" width="8.875" style="19" customWidth="1"/>
    <col min="117" max="117" width="9.25390625" style="0" customWidth="1"/>
    <col min="118" max="118" width="7.625" style="19" customWidth="1"/>
    <col min="119" max="119" width="9.375" style="0" customWidth="1"/>
    <col min="120" max="120" width="9.25390625" style="19" customWidth="1"/>
    <col min="121" max="121" width="10.125" style="19" customWidth="1"/>
    <col min="122" max="122" width="12.00390625" style="19" customWidth="1"/>
    <col min="123" max="123" width="12.375" style="0" customWidth="1"/>
    <col min="124" max="124" width="11.375" style="19" customWidth="1"/>
    <col min="125" max="125" width="10.00390625" style="0" customWidth="1"/>
    <col min="126" max="126" width="8.375" style="19" customWidth="1"/>
    <col min="127" max="127" width="10.00390625" style="0" customWidth="1"/>
    <col min="128" max="128" width="9.625" style="19" customWidth="1"/>
    <col min="129" max="129" width="10.00390625" style="0" customWidth="1"/>
    <col min="130" max="130" width="8.375" style="19" customWidth="1"/>
    <col min="131" max="131" width="11.00390625" style="0" customWidth="1"/>
    <col min="132" max="132" width="9.625" style="19" customWidth="1"/>
    <col min="133" max="133" width="9.875" style="0" customWidth="1"/>
    <col min="134" max="134" width="8.375" style="19" customWidth="1"/>
    <col min="135" max="135" width="9.875" style="0" customWidth="1"/>
    <col min="136" max="136" width="10.125" style="19" customWidth="1"/>
    <col min="137" max="137" width="12.25390625" style="0" customWidth="1"/>
    <col min="138" max="138" width="8.75390625" style="19" customWidth="1"/>
    <col min="139" max="139" width="10.625" style="0" customWidth="1"/>
    <col min="140" max="140" width="9.00390625" style="19" customWidth="1"/>
    <col min="141" max="141" width="10.375" style="0" customWidth="1"/>
    <col min="142" max="142" width="10.875" style="19" customWidth="1"/>
    <col min="143" max="143" width="10.00390625" style="0" customWidth="1"/>
    <col min="144" max="144" width="8.875" style="19" customWidth="1"/>
    <col min="145" max="145" width="10.25390625" style="0" customWidth="1"/>
    <col min="146" max="146" width="9.00390625" style="19" customWidth="1"/>
    <col min="147" max="147" width="10.75390625" style="0" customWidth="1"/>
    <col min="148" max="148" width="9.75390625" style="19" customWidth="1"/>
    <col min="149" max="149" width="9.875" style="0" customWidth="1"/>
    <col min="150" max="150" width="10.375" style="19" customWidth="1"/>
    <col min="151" max="151" width="10.00390625" style="0" customWidth="1"/>
    <col min="152" max="152" width="9.375" style="19" customWidth="1"/>
    <col min="153" max="153" width="10.00390625" style="0" customWidth="1"/>
    <col min="154" max="154" width="8.875" style="19" customWidth="1"/>
    <col min="155" max="155" width="10.75390625" style="0" customWidth="1"/>
    <col min="156" max="156" width="8.25390625" style="19" customWidth="1"/>
    <col min="157" max="157" width="10.75390625" style="0" customWidth="1"/>
    <col min="158" max="158" width="11.375" style="19" customWidth="1"/>
    <col min="159" max="159" width="10.25390625" style="19" customWidth="1"/>
    <col min="160" max="160" width="7.75390625" style="19" customWidth="1"/>
    <col min="161" max="161" width="10.625" style="0" customWidth="1"/>
    <col min="162" max="162" width="9.25390625" style="19" customWidth="1"/>
    <col min="163" max="163" width="11.125" style="0" customWidth="1"/>
    <col min="164" max="164" width="15.625" style="19" customWidth="1"/>
    <col min="165" max="165" width="15.25390625" style="19" customWidth="1"/>
    <col min="166" max="166" width="7.00390625" style="19" customWidth="1"/>
    <col min="167" max="167" width="9.00390625" style="0" customWidth="1"/>
    <col min="168" max="168" width="6.875" style="19" customWidth="1"/>
    <col min="169" max="169" width="9.00390625" style="0" customWidth="1"/>
    <col min="170" max="170" width="7.25390625" style="19" customWidth="1"/>
    <col min="171" max="171" width="9.25390625" style="0" customWidth="1"/>
    <col min="172" max="172" width="8.625" style="19" customWidth="1"/>
    <col min="174" max="174" width="8.375" style="19" customWidth="1"/>
    <col min="175" max="175" width="9.375" style="0" customWidth="1"/>
    <col min="176" max="176" width="9.125" style="19" customWidth="1"/>
    <col min="177" max="177" width="10.25390625" style="0" customWidth="1"/>
    <col min="178" max="178" width="11.125" style="19" customWidth="1"/>
    <col min="179" max="179" width="12.125" style="0" customWidth="1"/>
    <col min="180" max="180" width="8.375" style="19" customWidth="1"/>
    <col min="181" max="181" width="10.375" style="0" customWidth="1"/>
    <col min="182" max="182" width="10.75390625" style="19" customWidth="1"/>
    <col min="183" max="183" width="10.75390625" style="0" customWidth="1"/>
    <col min="184" max="184" width="8.375" style="19" customWidth="1"/>
    <col min="185" max="185" width="10.375" style="0" customWidth="1"/>
    <col min="186" max="186" width="9.25390625" style="19" customWidth="1"/>
    <col min="187" max="187" width="10.125" style="0" customWidth="1"/>
    <col min="188" max="188" width="12.875" style="19" customWidth="1"/>
    <col min="189" max="189" width="12.875" style="0" customWidth="1"/>
    <col min="190" max="190" width="13.75390625" style="19" customWidth="1"/>
    <col min="191" max="191" width="15.875" style="0" customWidth="1"/>
    <col min="192" max="192" width="12.00390625" style="19" customWidth="1"/>
    <col min="193" max="193" width="12.125" style="0" customWidth="1"/>
    <col min="194" max="194" width="12.625" style="19" customWidth="1"/>
    <col min="195" max="195" width="12.75390625" style="0" customWidth="1"/>
    <col min="196" max="196" width="14.25390625" style="19" customWidth="1"/>
    <col min="197" max="197" width="13.25390625" style="0" customWidth="1"/>
    <col min="198" max="198" width="10.75390625" style="19" customWidth="1"/>
    <col min="199" max="199" width="10.375" style="0" customWidth="1"/>
    <col min="200" max="200" width="9.25390625" style="19" customWidth="1"/>
    <col min="201" max="201" width="9.00390625" style="0" customWidth="1"/>
    <col min="202" max="202" width="11.875" style="19" customWidth="1"/>
    <col min="203" max="203" width="11.75390625" style="0" customWidth="1"/>
    <col min="204" max="204" width="8.75390625" style="19" customWidth="1"/>
    <col min="205" max="205" width="9.375" style="0" customWidth="1"/>
    <col min="206" max="206" width="9.375" style="19" customWidth="1"/>
    <col min="208" max="208" width="12.75390625" style="19" customWidth="1"/>
    <col min="209" max="209" width="13.00390625" style="0" customWidth="1"/>
    <col min="210" max="210" width="12.125" style="19" customWidth="1"/>
    <col min="211" max="211" width="12.375" style="0" customWidth="1"/>
    <col min="212" max="212" width="12.625" style="19" customWidth="1"/>
    <col min="213" max="213" width="16.125" style="19" customWidth="1"/>
    <col min="214" max="214" width="13.375" style="19" customWidth="1"/>
    <col min="215" max="215" width="13.875" style="0" customWidth="1"/>
    <col min="216" max="216" width="14.125" style="19" customWidth="1"/>
    <col min="217" max="217" width="12.875" style="0" customWidth="1"/>
    <col min="218" max="218" width="12.25390625" style="19" customWidth="1"/>
    <col min="219" max="219" width="12.875" style="0" customWidth="1"/>
    <col min="220" max="220" width="13.625" style="19" customWidth="1"/>
    <col min="221" max="221" width="13.875" style="0" customWidth="1"/>
    <col min="222" max="222" width="13.25390625" style="19" customWidth="1"/>
    <col min="223" max="223" width="12.125" style="0" customWidth="1"/>
    <col min="224" max="224" width="13.25390625" style="19" customWidth="1"/>
    <col min="225" max="225" width="12.375" style="19" customWidth="1"/>
    <col min="226" max="226" width="9.00390625" style="0" customWidth="1"/>
    <col min="227" max="227" width="10.625" style="0" customWidth="1"/>
    <col min="228" max="228" width="9.00390625" style="19" customWidth="1"/>
    <col min="229" max="229" width="10.00390625" style="0" customWidth="1"/>
    <col min="230" max="230" width="8.625" style="19" customWidth="1"/>
    <col min="231" max="231" width="11.125" style="0" customWidth="1"/>
    <col min="232" max="232" width="10.875" style="19" customWidth="1"/>
    <col min="233" max="233" width="11.125" style="19" customWidth="1"/>
  </cols>
  <sheetData>
    <row r="1" spans="1:233" s="1" customFormat="1" ht="60.75" customHeight="1">
      <c r="A1" s="142"/>
      <c r="B1" s="173" t="s">
        <v>317</v>
      </c>
      <c r="C1" s="174"/>
      <c r="D1" s="174"/>
      <c r="E1" s="174"/>
      <c r="F1" s="174"/>
      <c r="G1" s="174"/>
      <c r="H1" s="174"/>
      <c r="I1" s="174"/>
      <c r="J1" s="142"/>
      <c r="K1" s="142"/>
      <c r="L1" s="142"/>
      <c r="M1" s="142"/>
      <c r="N1" s="143"/>
      <c r="O1" s="142"/>
      <c r="P1" s="143"/>
      <c r="Q1" s="9"/>
      <c r="R1" s="20"/>
      <c r="S1" s="9"/>
      <c r="T1" s="20"/>
      <c r="U1" s="9"/>
      <c r="V1" s="20"/>
      <c r="X1" s="21"/>
      <c r="Z1" s="21"/>
      <c r="AB1" s="21"/>
      <c r="AD1" s="21"/>
      <c r="AF1" s="21"/>
      <c r="AH1" s="21"/>
      <c r="AI1" s="21"/>
      <c r="AJ1" s="21"/>
      <c r="AL1" s="21"/>
      <c r="AN1" s="21"/>
      <c r="AO1" s="6"/>
      <c r="AP1" s="23"/>
      <c r="AR1" s="21"/>
      <c r="AT1" s="21"/>
      <c r="AV1" s="21"/>
      <c r="AX1" s="21"/>
      <c r="AZ1" s="21"/>
      <c r="BA1" s="21"/>
      <c r="BB1" s="21"/>
      <c r="BC1" s="21"/>
      <c r="BD1" s="21"/>
      <c r="BE1" s="7"/>
      <c r="BF1" s="21"/>
      <c r="BH1" s="21"/>
      <c r="BJ1" s="21"/>
      <c r="BL1" s="21"/>
      <c r="BN1" s="21"/>
      <c r="BP1" s="21"/>
      <c r="BR1" s="21"/>
      <c r="BT1" s="21"/>
      <c r="BV1" s="21"/>
      <c r="BX1" s="21"/>
      <c r="BZ1" s="21"/>
      <c r="CB1" s="21"/>
      <c r="CD1" s="21"/>
      <c r="CF1" s="21"/>
      <c r="CG1" s="21"/>
      <c r="CH1" s="21"/>
      <c r="CJ1" s="21"/>
      <c r="CL1" s="21"/>
      <c r="CN1" s="21"/>
      <c r="CP1" s="21"/>
      <c r="CR1" s="21"/>
      <c r="CT1" s="21"/>
      <c r="CV1" s="21"/>
      <c r="CX1" s="21"/>
      <c r="CZ1" s="21"/>
      <c r="DB1" s="21"/>
      <c r="DD1" s="21"/>
      <c r="DF1" s="21"/>
      <c r="DG1" s="21"/>
      <c r="DH1" s="21"/>
      <c r="DJ1" s="21"/>
      <c r="DK1" s="21"/>
      <c r="DL1" s="21"/>
      <c r="DN1" s="21"/>
      <c r="DP1" s="21"/>
      <c r="DQ1" s="21"/>
      <c r="DR1" s="21"/>
      <c r="DT1" s="21"/>
      <c r="DV1" s="21"/>
      <c r="DX1" s="21"/>
      <c r="DZ1" s="21"/>
      <c r="EB1" s="21"/>
      <c r="ED1" s="21"/>
      <c r="EF1" s="21"/>
      <c r="EH1" s="21"/>
      <c r="EJ1" s="21"/>
      <c r="EL1" s="21"/>
      <c r="EN1" s="21"/>
      <c r="EP1" s="21"/>
      <c r="ER1" s="21"/>
      <c r="ET1" s="21"/>
      <c r="EV1" s="21"/>
      <c r="EX1" s="21"/>
      <c r="EZ1" s="21"/>
      <c r="FB1" s="21"/>
      <c r="FC1" s="21"/>
      <c r="FD1" s="21"/>
      <c r="FF1" s="21"/>
      <c r="FH1" s="21"/>
      <c r="FI1" s="21"/>
      <c r="FJ1" s="21"/>
      <c r="FL1" s="21"/>
      <c r="FN1" s="21"/>
      <c r="FP1" s="21"/>
      <c r="FR1" s="21"/>
      <c r="FT1" s="21"/>
      <c r="FV1" s="21"/>
      <c r="FX1" s="21"/>
      <c r="FZ1" s="21"/>
      <c r="GB1" s="21"/>
      <c r="GD1" s="21"/>
      <c r="GF1" s="21"/>
      <c r="GH1" s="21"/>
      <c r="GJ1" s="21"/>
      <c r="GL1" s="21"/>
      <c r="GN1" s="21"/>
      <c r="GP1" s="21"/>
      <c r="GR1" s="21"/>
      <c r="GT1" s="21"/>
      <c r="GV1" s="21"/>
      <c r="GX1" s="21"/>
      <c r="GZ1" s="21"/>
      <c r="HB1" s="21"/>
      <c r="HD1" s="21"/>
      <c r="HE1" s="21"/>
      <c r="HF1" s="21"/>
      <c r="HH1" s="21"/>
      <c r="HJ1" s="21"/>
      <c r="HL1" s="21"/>
      <c r="HN1" s="21"/>
      <c r="HP1" s="21"/>
      <c r="HQ1" s="21"/>
      <c r="HT1" s="21"/>
      <c r="HV1" s="21"/>
      <c r="HX1" s="21"/>
      <c r="HY1" s="21"/>
    </row>
    <row r="2" spans="1:233" ht="8.25" customHeight="1" thickBot="1">
      <c r="A2" s="175"/>
      <c r="B2" s="175"/>
      <c r="C2" s="175"/>
      <c r="D2" s="175"/>
      <c r="E2" s="175"/>
      <c r="F2" s="175"/>
      <c r="G2" s="175"/>
      <c r="H2" s="175"/>
      <c r="I2" s="175"/>
      <c r="J2" s="175"/>
      <c r="K2" s="175"/>
      <c r="L2" s="175"/>
      <c r="M2" s="175"/>
      <c r="N2" s="175"/>
      <c r="O2" s="175"/>
      <c r="P2" s="175"/>
      <c r="Q2" s="175"/>
      <c r="R2" s="120"/>
      <c r="S2" s="121"/>
      <c r="T2" s="122"/>
      <c r="U2" s="123"/>
      <c r="V2" s="124"/>
      <c r="W2" s="123"/>
      <c r="X2" s="124"/>
      <c r="Y2" s="123"/>
      <c r="Z2" s="124"/>
      <c r="AA2" s="123"/>
      <c r="AB2" s="124"/>
      <c r="AC2" s="123"/>
      <c r="AD2" s="124"/>
      <c r="AE2" s="123"/>
      <c r="AF2" s="124"/>
      <c r="AG2" s="123"/>
      <c r="AH2" s="124"/>
      <c r="AI2" s="124"/>
      <c r="AJ2" s="124"/>
      <c r="AK2" s="123"/>
      <c r="AL2" s="124"/>
      <c r="AM2" s="1"/>
      <c r="AN2" s="21"/>
      <c r="AO2" s="6"/>
      <c r="AP2" s="23"/>
      <c r="AQ2" s="1"/>
      <c r="AR2" s="124"/>
      <c r="AS2" s="123"/>
      <c r="AT2" s="124"/>
      <c r="AU2" s="123"/>
      <c r="AV2" s="124"/>
      <c r="AW2" s="123"/>
      <c r="AX2" s="124"/>
      <c r="AY2" s="123"/>
      <c r="AZ2" s="124"/>
      <c r="BA2" s="124"/>
      <c r="BB2" s="21"/>
      <c r="BC2" s="21"/>
      <c r="BD2" s="21"/>
      <c r="BE2" s="7"/>
      <c r="BF2" s="21"/>
      <c r="BG2" s="1"/>
      <c r="BH2" s="21"/>
      <c r="BI2" s="1"/>
      <c r="BJ2" s="21"/>
      <c r="BK2" s="1"/>
      <c r="BL2" s="21"/>
      <c r="BM2" s="1"/>
      <c r="BN2" s="21"/>
      <c r="BO2" s="1"/>
      <c r="BP2" s="21"/>
      <c r="BQ2" s="1"/>
      <c r="BR2" s="21"/>
      <c r="BS2" s="1"/>
      <c r="BT2" s="21"/>
      <c r="BU2" s="1"/>
      <c r="BV2" s="21"/>
      <c r="BW2" s="1"/>
      <c r="BX2" s="124"/>
      <c r="BY2" s="123"/>
      <c r="BZ2" s="124"/>
      <c r="CA2" s="123"/>
      <c r="CB2" s="124"/>
      <c r="CC2" s="123"/>
      <c r="CD2" s="124"/>
      <c r="CE2" s="123"/>
      <c r="CF2" s="21"/>
      <c r="CG2" s="21"/>
      <c r="CH2" s="21"/>
      <c r="CI2" s="1"/>
      <c r="CJ2" s="21"/>
      <c r="CK2" s="1"/>
      <c r="CL2" s="21"/>
      <c r="CM2" s="1"/>
      <c r="CN2" s="124"/>
      <c r="CO2" s="123"/>
      <c r="CP2" s="124"/>
      <c r="CQ2" s="123"/>
      <c r="CR2" s="124"/>
      <c r="CS2" s="123"/>
      <c r="CT2" s="124"/>
      <c r="CU2" s="123"/>
      <c r="CV2" s="21"/>
      <c r="CW2" s="1"/>
      <c r="CX2" s="21"/>
      <c r="CY2" s="1"/>
      <c r="CZ2" s="21"/>
      <c r="DA2" s="1"/>
      <c r="DB2" s="21"/>
      <c r="DC2" s="1"/>
      <c r="DD2" s="21"/>
      <c r="DE2" s="1"/>
      <c r="DF2" s="21"/>
      <c r="DG2" s="21"/>
      <c r="DH2" s="21"/>
      <c r="DI2" s="1"/>
      <c r="DJ2" s="21"/>
      <c r="DK2" s="21"/>
      <c r="DL2" s="21"/>
      <c r="DM2" s="1"/>
      <c r="DN2" s="21"/>
      <c r="DO2" s="1"/>
      <c r="DP2" s="21"/>
      <c r="DQ2" s="21"/>
      <c r="DR2" s="21"/>
      <c r="DS2" s="1"/>
      <c r="DT2" s="21"/>
      <c r="DU2" s="1"/>
      <c r="DV2" s="21"/>
      <c r="DW2" s="1"/>
      <c r="DX2" s="21"/>
      <c r="DY2" s="1"/>
      <c r="DZ2" s="21"/>
      <c r="EA2" s="1"/>
      <c r="EB2" s="21"/>
      <c r="EC2" s="1"/>
      <c r="ED2" s="21"/>
      <c r="EE2" s="1"/>
      <c r="EF2" s="21"/>
      <c r="EG2" s="1"/>
      <c r="EH2" s="21"/>
      <c r="EI2" s="1"/>
      <c r="EJ2" s="21"/>
      <c r="EK2" s="1"/>
      <c r="EL2" s="21"/>
      <c r="EM2" s="1"/>
      <c r="EN2" s="21"/>
      <c r="EO2" s="1"/>
      <c r="EP2" s="21"/>
      <c r="EQ2" s="1"/>
      <c r="ER2" s="21"/>
      <c r="ES2" s="1"/>
      <c r="ET2" s="21"/>
      <c r="EU2" s="1"/>
      <c r="EV2" s="21"/>
      <c r="EW2" s="1"/>
      <c r="EX2" s="21"/>
      <c r="EY2" s="1"/>
      <c r="EZ2" s="21"/>
      <c r="FA2" s="1"/>
      <c r="FB2" s="21"/>
      <c r="FC2" s="21"/>
      <c r="FD2" s="21"/>
      <c r="FE2" s="1"/>
      <c r="FF2" s="21"/>
      <c r="FG2" s="1"/>
      <c r="FH2" s="21"/>
      <c r="FI2" s="21"/>
      <c r="FJ2" s="21"/>
      <c r="FK2" s="1"/>
      <c r="FL2" s="21"/>
      <c r="FM2" s="1"/>
      <c r="FN2" s="21"/>
      <c r="FO2" s="1"/>
      <c r="FP2" s="21"/>
      <c r="FQ2" s="1"/>
      <c r="FR2" s="21"/>
      <c r="FS2" s="1"/>
      <c r="FT2" s="21"/>
      <c r="FU2" s="1"/>
      <c r="FV2" s="21"/>
      <c r="FW2" s="1"/>
      <c r="FX2" s="21"/>
      <c r="FY2" s="1"/>
      <c r="FZ2" s="21"/>
      <c r="GA2" s="1"/>
      <c r="GB2" s="21"/>
      <c r="GC2" s="1"/>
      <c r="GD2" s="21"/>
      <c r="GE2" s="1"/>
      <c r="GF2" s="21"/>
      <c r="GG2" s="1"/>
      <c r="GH2" s="21"/>
      <c r="GI2" s="1"/>
      <c r="GJ2" s="21"/>
      <c r="GK2" s="1"/>
      <c r="GL2" s="21"/>
      <c r="GM2" s="1"/>
      <c r="GN2" s="21"/>
      <c r="GO2" s="1"/>
      <c r="GP2" s="21"/>
      <c r="GQ2" s="1"/>
      <c r="GR2" s="21"/>
      <c r="GS2" s="1"/>
      <c r="GT2" s="21"/>
      <c r="GU2" s="1"/>
      <c r="GV2" s="21"/>
      <c r="GW2" s="1"/>
      <c r="GX2" s="21"/>
      <c r="GY2" s="1"/>
      <c r="GZ2" s="21"/>
      <c r="HA2" s="1"/>
      <c r="HB2" s="21"/>
      <c r="HC2" s="1"/>
      <c r="HD2" s="21"/>
      <c r="HE2" s="21"/>
      <c r="HF2" s="21"/>
      <c r="HG2" s="1"/>
      <c r="HH2" s="21"/>
      <c r="HI2" s="1"/>
      <c r="HJ2" s="21"/>
      <c r="HK2" s="1"/>
      <c r="HL2" s="21"/>
      <c r="HM2" s="1"/>
      <c r="HN2" s="21"/>
      <c r="HO2" s="1"/>
      <c r="HP2" s="21"/>
      <c r="HQ2" s="21"/>
      <c r="HR2" s="1"/>
      <c r="HS2" s="1"/>
      <c r="HT2" s="21"/>
      <c r="HU2" s="1"/>
      <c r="HV2" s="21"/>
      <c r="HW2" s="1"/>
      <c r="HX2" s="21"/>
      <c r="HY2" s="21"/>
    </row>
    <row r="3" spans="1:233" s="4" customFormat="1" ht="44.25" customHeight="1">
      <c r="A3" s="242" t="s">
        <v>294</v>
      </c>
      <c r="B3" s="238" t="s">
        <v>297</v>
      </c>
      <c r="C3" s="239"/>
      <c r="D3" s="239"/>
      <c r="E3" s="239"/>
      <c r="F3" s="239"/>
      <c r="G3" s="239"/>
      <c r="H3" s="239"/>
      <c r="I3" s="240"/>
      <c r="J3" s="189" t="s">
        <v>297</v>
      </c>
      <c r="K3" s="190"/>
      <c r="L3" s="190"/>
      <c r="M3" s="190"/>
      <c r="N3" s="190"/>
      <c r="O3" s="191"/>
      <c r="P3" s="189" t="s">
        <v>297</v>
      </c>
      <c r="Q3" s="166"/>
      <c r="R3" s="166"/>
      <c r="S3" s="166"/>
      <c r="T3" s="166"/>
      <c r="U3" s="192"/>
      <c r="V3" s="189" t="s">
        <v>297</v>
      </c>
      <c r="W3" s="166"/>
      <c r="X3" s="166"/>
      <c r="Y3" s="166"/>
      <c r="Z3" s="166"/>
      <c r="AA3" s="192"/>
      <c r="AB3" s="160" t="s">
        <v>297</v>
      </c>
      <c r="AC3" s="161"/>
      <c r="AD3" s="161"/>
      <c r="AE3" s="161"/>
      <c r="AF3" s="161"/>
      <c r="AG3" s="161"/>
      <c r="AH3" s="162"/>
      <c r="AI3" s="163"/>
      <c r="AJ3" s="170" t="s">
        <v>298</v>
      </c>
      <c r="AK3" s="166"/>
      <c r="AL3" s="166"/>
      <c r="AM3" s="166"/>
      <c r="AN3" s="166"/>
      <c r="AO3" s="166"/>
      <c r="AP3" s="166"/>
      <c r="AQ3" s="166"/>
      <c r="AR3" s="164" t="s">
        <v>298</v>
      </c>
      <c r="AS3" s="166"/>
      <c r="AT3" s="166"/>
      <c r="AU3" s="166"/>
      <c r="AV3" s="166"/>
      <c r="AW3" s="166"/>
      <c r="AX3" s="166"/>
      <c r="AY3" s="166"/>
      <c r="AZ3" s="127"/>
      <c r="BA3" s="128"/>
      <c r="BB3" s="181" t="s">
        <v>305</v>
      </c>
      <c r="BC3" s="182"/>
      <c r="BD3" s="171" t="s">
        <v>299</v>
      </c>
      <c r="BE3" s="172"/>
      <c r="BF3" s="172"/>
      <c r="BG3" s="172"/>
      <c r="BH3" s="241" t="s">
        <v>299</v>
      </c>
      <c r="BI3" s="165"/>
      <c r="BJ3" s="165"/>
      <c r="BK3" s="165"/>
      <c r="BL3" s="165"/>
      <c r="BM3" s="165"/>
      <c r="BN3" s="164" t="s">
        <v>299</v>
      </c>
      <c r="BO3" s="165"/>
      <c r="BP3" s="165"/>
      <c r="BQ3" s="165"/>
      <c r="BR3" s="165"/>
      <c r="BS3" s="165"/>
      <c r="BT3" s="164" t="s">
        <v>299</v>
      </c>
      <c r="BU3" s="166"/>
      <c r="BV3" s="166"/>
      <c r="BW3" s="166"/>
      <c r="BX3" s="166"/>
      <c r="BY3" s="166"/>
      <c r="BZ3" s="166"/>
      <c r="CA3" s="166"/>
      <c r="CB3" s="167" t="s">
        <v>299</v>
      </c>
      <c r="CC3" s="168"/>
      <c r="CD3" s="168"/>
      <c r="CE3" s="168"/>
      <c r="CF3" s="168"/>
      <c r="CG3" s="169"/>
      <c r="CH3" s="170" t="s">
        <v>300</v>
      </c>
      <c r="CI3" s="166"/>
      <c r="CJ3" s="166"/>
      <c r="CK3" s="166"/>
      <c r="CL3" s="166"/>
      <c r="CM3" s="166"/>
      <c r="CN3" s="166"/>
      <c r="CO3" s="166"/>
      <c r="CP3" s="206" t="s">
        <v>300</v>
      </c>
      <c r="CQ3" s="206"/>
      <c r="CR3" s="206"/>
      <c r="CS3" s="206"/>
      <c r="CT3" s="206"/>
      <c r="CU3" s="206"/>
      <c r="CV3" s="164" t="s">
        <v>300</v>
      </c>
      <c r="CW3" s="276"/>
      <c r="CX3" s="276"/>
      <c r="CY3" s="276"/>
      <c r="CZ3" s="276"/>
      <c r="DA3" s="276"/>
      <c r="DB3" s="276"/>
      <c r="DC3" s="277"/>
      <c r="DD3" s="278" t="s">
        <v>54</v>
      </c>
      <c r="DE3" s="279"/>
      <c r="DF3" s="279"/>
      <c r="DG3" s="280"/>
      <c r="DH3" s="290" t="s">
        <v>301</v>
      </c>
      <c r="DI3" s="172"/>
      <c r="DJ3" s="172"/>
      <c r="DK3" s="291"/>
      <c r="DL3" s="292" t="s">
        <v>302</v>
      </c>
      <c r="DM3" s="276"/>
      <c r="DN3" s="276"/>
      <c r="DO3" s="276"/>
      <c r="DP3" s="276"/>
      <c r="DQ3" s="277"/>
      <c r="DR3" s="236" t="s">
        <v>55</v>
      </c>
      <c r="DS3" s="237"/>
      <c r="DT3" s="288" t="s">
        <v>28</v>
      </c>
      <c r="DU3" s="165"/>
      <c r="DV3" s="165"/>
      <c r="DW3" s="165"/>
      <c r="DX3" s="165"/>
      <c r="DY3" s="165"/>
      <c r="DZ3" s="165"/>
      <c r="EA3" s="289"/>
      <c r="EB3" s="288" t="s">
        <v>28</v>
      </c>
      <c r="EC3" s="165"/>
      <c r="ED3" s="165"/>
      <c r="EE3" s="165"/>
      <c r="EF3" s="165"/>
      <c r="EG3" s="165"/>
      <c r="EH3" s="165"/>
      <c r="EI3" s="289"/>
      <c r="EJ3" s="288" t="s">
        <v>28</v>
      </c>
      <c r="EK3" s="165"/>
      <c r="EL3" s="165"/>
      <c r="EM3" s="165"/>
      <c r="EN3" s="165"/>
      <c r="EO3" s="165"/>
      <c r="EP3" s="165"/>
      <c r="EQ3" s="289"/>
      <c r="ER3" s="288" t="s">
        <v>200</v>
      </c>
      <c r="ES3" s="165"/>
      <c r="ET3" s="165"/>
      <c r="EU3" s="165"/>
      <c r="EV3" s="165"/>
      <c r="EW3" s="165"/>
      <c r="EX3" s="165"/>
      <c r="EY3" s="289"/>
      <c r="EZ3" s="290" t="s">
        <v>200</v>
      </c>
      <c r="FA3" s="172"/>
      <c r="FB3" s="172"/>
      <c r="FC3" s="291"/>
      <c r="FD3" s="290" t="s">
        <v>303</v>
      </c>
      <c r="FE3" s="165"/>
      <c r="FF3" s="165"/>
      <c r="FG3" s="289"/>
      <c r="FH3" s="293"/>
      <c r="FI3" s="294"/>
      <c r="FJ3" s="290" t="s">
        <v>311</v>
      </c>
      <c r="FK3" s="172"/>
      <c r="FL3" s="172"/>
      <c r="FM3" s="172"/>
      <c r="FN3" s="172"/>
      <c r="FO3" s="291"/>
      <c r="FP3" s="288" t="s">
        <v>311</v>
      </c>
      <c r="FQ3" s="165"/>
      <c r="FR3" s="165"/>
      <c r="FS3" s="165"/>
      <c r="FT3" s="165"/>
      <c r="FU3" s="165"/>
      <c r="FV3" s="165"/>
      <c r="FW3" s="289"/>
      <c r="FX3" s="288" t="s">
        <v>311</v>
      </c>
      <c r="FY3" s="165"/>
      <c r="FZ3" s="165"/>
      <c r="GA3" s="165"/>
      <c r="GB3" s="165"/>
      <c r="GC3" s="165"/>
      <c r="GD3" s="165"/>
      <c r="GE3" s="289"/>
      <c r="GF3" s="288" t="s">
        <v>311</v>
      </c>
      <c r="GG3" s="165"/>
      <c r="GH3" s="165"/>
      <c r="GI3" s="165"/>
      <c r="GJ3" s="165"/>
      <c r="GK3" s="165"/>
      <c r="GL3" s="287" t="s">
        <v>311</v>
      </c>
      <c r="GM3" s="165"/>
      <c r="GN3" s="165"/>
      <c r="GO3" s="165"/>
      <c r="GP3" s="165"/>
      <c r="GQ3" s="165"/>
      <c r="GR3" s="287" t="s">
        <v>311</v>
      </c>
      <c r="GS3" s="165"/>
      <c r="GT3" s="165"/>
      <c r="GU3" s="165"/>
      <c r="GV3" s="165"/>
      <c r="GW3" s="165"/>
      <c r="GX3" s="165"/>
      <c r="GY3" s="165"/>
      <c r="GZ3" s="287" t="s">
        <v>311</v>
      </c>
      <c r="HA3" s="165"/>
      <c r="HB3" s="165"/>
      <c r="HC3" s="165"/>
      <c r="HD3" s="165"/>
      <c r="HE3" s="289"/>
      <c r="HF3" s="288" t="s">
        <v>316</v>
      </c>
      <c r="HG3" s="165"/>
      <c r="HH3" s="165"/>
      <c r="HI3" s="165"/>
      <c r="HJ3" s="165"/>
      <c r="HK3" s="289"/>
      <c r="HL3" s="288" t="s">
        <v>316</v>
      </c>
      <c r="HM3" s="165"/>
      <c r="HN3" s="165"/>
      <c r="HO3" s="165"/>
      <c r="HP3" s="165"/>
      <c r="HQ3" s="289"/>
      <c r="HR3" s="292" t="s">
        <v>312</v>
      </c>
      <c r="HS3" s="165"/>
      <c r="HT3" s="165"/>
      <c r="HU3" s="165"/>
      <c r="HV3" s="165"/>
      <c r="HW3" s="165"/>
      <c r="HX3" s="165"/>
      <c r="HY3" s="289"/>
    </row>
    <row r="4" spans="1:233" ht="12.75" customHeight="1">
      <c r="A4" s="243"/>
      <c r="B4" s="199" t="s">
        <v>107</v>
      </c>
      <c r="C4" s="245"/>
      <c r="D4" s="199" t="s">
        <v>108</v>
      </c>
      <c r="E4" s="224"/>
      <c r="F4" s="199" t="s">
        <v>109</v>
      </c>
      <c r="G4" s="224"/>
      <c r="H4" s="159" t="s">
        <v>110</v>
      </c>
      <c r="I4" s="229"/>
      <c r="J4" s="159" t="s">
        <v>33</v>
      </c>
      <c r="K4" s="176"/>
      <c r="L4" s="159" t="s">
        <v>34</v>
      </c>
      <c r="M4" s="176"/>
      <c r="N4" s="223" t="s">
        <v>35</v>
      </c>
      <c r="O4" s="221"/>
      <c r="P4" s="221" t="s">
        <v>36</v>
      </c>
      <c r="Q4" s="221"/>
      <c r="R4" s="221" t="s">
        <v>37</v>
      </c>
      <c r="S4" s="221"/>
      <c r="T4" s="221" t="s">
        <v>38</v>
      </c>
      <c r="U4" s="221"/>
      <c r="V4" s="222" t="s">
        <v>39</v>
      </c>
      <c r="W4" s="214"/>
      <c r="X4" s="222" t="s">
        <v>40</v>
      </c>
      <c r="Y4" s="214"/>
      <c r="Z4" s="213" t="s">
        <v>57</v>
      </c>
      <c r="AA4" s="214"/>
      <c r="AB4" s="264" t="s">
        <v>328</v>
      </c>
      <c r="AC4" s="265"/>
      <c r="AD4" s="213" t="s">
        <v>330</v>
      </c>
      <c r="AE4" s="214"/>
      <c r="AF4" s="200" t="s">
        <v>222</v>
      </c>
      <c r="AG4" s="184"/>
      <c r="AH4" s="183" t="s">
        <v>296</v>
      </c>
      <c r="AI4" s="259"/>
      <c r="AJ4" s="221" t="s">
        <v>154</v>
      </c>
      <c r="AK4" s="270"/>
      <c r="AL4" s="211" t="s">
        <v>366</v>
      </c>
      <c r="AM4" s="176"/>
      <c r="AN4" s="159" t="s">
        <v>315</v>
      </c>
      <c r="AO4" s="176"/>
      <c r="AP4" s="223" t="s">
        <v>367</v>
      </c>
      <c r="AQ4" s="221"/>
      <c r="AR4" s="221" t="s">
        <v>26</v>
      </c>
      <c r="AS4" s="281"/>
      <c r="AT4" s="282" t="s">
        <v>27</v>
      </c>
      <c r="AU4" s="283"/>
      <c r="AV4" s="284" t="s">
        <v>373</v>
      </c>
      <c r="AW4" s="285"/>
      <c r="AX4" s="284" t="s">
        <v>25</v>
      </c>
      <c r="AY4" s="285"/>
      <c r="AZ4" s="286" t="s">
        <v>304</v>
      </c>
      <c r="BA4" s="281"/>
      <c r="BB4" s="183" t="s">
        <v>41</v>
      </c>
      <c r="BC4" s="184"/>
      <c r="BD4" s="199" t="s">
        <v>375</v>
      </c>
      <c r="BE4" s="184"/>
      <c r="BF4" s="200" t="s">
        <v>378</v>
      </c>
      <c r="BG4" s="201"/>
      <c r="BH4" s="159" t="s">
        <v>379</v>
      </c>
      <c r="BI4" s="176"/>
      <c r="BJ4" s="159" t="s">
        <v>381</v>
      </c>
      <c r="BK4" s="176"/>
      <c r="BL4" s="211" t="s">
        <v>383</v>
      </c>
      <c r="BM4" s="176"/>
      <c r="BN4" s="193" t="s">
        <v>11</v>
      </c>
      <c r="BO4" s="194"/>
      <c r="BP4" s="211" t="s">
        <v>13</v>
      </c>
      <c r="BQ4" s="176"/>
      <c r="BR4" s="211" t="s">
        <v>15</v>
      </c>
      <c r="BS4" s="176"/>
      <c r="BT4" s="200" t="s">
        <v>17</v>
      </c>
      <c r="BU4" s="201"/>
      <c r="BV4" s="200" t="s">
        <v>17</v>
      </c>
      <c r="BW4" s="201"/>
      <c r="BX4" s="213" t="s">
        <v>20</v>
      </c>
      <c r="BY4" s="214"/>
      <c r="BZ4" s="200" t="s">
        <v>22</v>
      </c>
      <c r="CA4" s="201"/>
      <c r="CB4" s="213" t="s">
        <v>58</v>
      </c>
      <c r="CC4" s="214"/>
      <c r="CD4" s="213" t="s">
        <v>60</v>
      </c>
      <c r="CE4" s="214"/>
      <c r="CF4" s="183" t="s">
        <v>42</v>
      </c>
      <c r="CG4" s="184"/>
      <c r="CH4" s="193" t="s">
        <v>64</v>
      </c>
      <c r="CI4" s="194"/>
      <c r="CJ4" s="159" t="s">
        <v>66</v>
      </c>
      <c r="CK4" s="176"/>
      <c r="CL4" s="211" t="s">
        <v>68</v>
      </c>
      <c r="CM4" s="176"/>
      <c r="CN4" s="159" t="s">
        <v>70</v>
      </c>
      <c r="CO4" s="176"/>
      <c r="CP4" s="211" t="s">
        <v>72</v>
      </c>
      <c r="CQ4" s="176"/>
      <c r="CR4" s="211" t="s">
        <v>74</v>
      </c>
      <c r="CS4" s="176"/>
      <c r="CT4" s="159" t="s">
        <v>76</v>
      </c>
      <c r="CU4" s="176"/>
      <c r="CV4" s="159" t="s">
        <v>78</v>
      </c>
      <c r="CW4" s="176"/>
      <c r="CX4" s="159" t="s">
        <v>80</v>
      </c>
      <c r="CY4" s="176"/>
      <c r="CZ4" s="211" t="s">
        <v>82</v>
      </c>
      <c r="DA4" s="176"/>
      <c r="DB4" s="159" t="s">
        <v>32</v>
      </c>
      <c r="DC4" s="176"/>
      <c r="DD4" s="159" t="s">
        <v>84</v>
      </c>
      <c r="DE4" s="176"/>
      <c r="DF4" s="183" t="s">
        <v>43</v>
      </c>
      <c r="DG4" s="184"/>
      <c r="DH4" s="211" t="s">
        <v>86</v>
      </c>
      <c r="DI4" s="176"/>
      <c r="DJ4" s="183" t="s">
        <v>44</v>
      </c>
      <c r="DK4" s="184"/>
      <c r="DL4" s="199" t="s">
        <v>88</v>
      </c>
      <c r="DM4" s="201"/>
      <c r="DN4" s="199" t="s">
        <v>62</v>
      </c>
      <c r="DO4" s="201"/>
      <c r="DP4" s="183" t="s">
        <v>45</v>
      </c>
      <c r="DQ4" s="184"/>
      <c r="DR4" s="159" t="s">
        <v>91</v>
      </c>
      <c r="DS4" s="176"/>
      <c r="DT4" s="159" t="s">
        <v>93</v>
      </c>
      <c r="DU4" s="184"/>
      <c r="DV4" s="159" t="s">
        <v>95</v>
      </c>
      <c r="DW4" s="184"/>
      <c r="DX4" s="159" t="s">
        <v>97</v>
      </c>
      <c r="DY4" s="184"/>
      <c r="DZ4" s="159" t="s">
        <v>99</v>
      </c>
      <c r="EA4" s="184"/>
      <c r="EB4" s="159" t="s">
        <v>101</v>
      </c>
      <c r="EC4" s="184"/>
      <c r="ED4" s="159" t="s">
        <v>103</v>
      </c>
      <c r="EE4" s="184"/>
      <c r="EF4" s="211" t="s">
        <v>111</v>
      </c>
      <c r="EG4" s="176"/>
      <c r="EH4" s="211" t="s">
        <v>113</v>
      </c>
      <c r="EI4" s="176"/>
      <c r="EJ4" s="211" t="s">
        <v>115</v>
      </c>
      <c r="EK4" s="176"/>
      <c r="EL4" s="199" t="s">
        <v>117</v>
      </c>
      <c r="EM4" s="201"/>
      <c r="EN4" s="159" t="s">
        <v>386</v>
      </c>
      <c r="EO4" s="176"/>
      <c r="EP4" s="211" t="s">
        <v>388</v>
      </c>
      <c r="EQ4" s="176"/>
      <c r="ER4" s="211" t="s">
        <v>390</v>
      </c>
      <c r="ES4" s="176"/>
      <c r="ET4" s="199" t="s">
        <v>392</v>
      </c>
      <c r="EU4" s="184"/>
      <c r="EV4" s="159" t="s">
        <v>2</v>
      </c>
      <c r="EW4" s="176"/>
      <c r="EX4" s="159" t="s">
        <v>4</v>
      </c>
      <c r="EY4" s="176"/>
      <c r="EZ4" s="199" t="s">
        <v>6</v>
      </c>
      <c r="FA4" s="184"/>
      <c r="FB4" s="183" t="s">
        <v>46</v>
      </c>
      <c r="FC4" s="184"/>
      <c r="FD4" s="211" t="s">
        <v>8</v>
      </c>
      <c r="FE4" s="176"/>
      <c r="FF4" s="211" t="s">
        <v>10</v>
      </c>
      <c r="FG4" s="176"/>
      <c r="FH4" s="183" t="s">
        <v>47</v>
      </c>
      <c r="FI4" s="184"/>
      <c r="FJ4" s="159" t="s">
        <v>99</v>
      </c>
      <c r="FK4" s="176"/>
      <c r="FL4" s="159" t="s">
        <v>336</v>
      </c>
      <c r="FM4" s="176"/>
      <c r="FN4" s="159" t="s">
        <v>338</v>
      </c>
      <c r="FO4" s="176"/>
      <c r="FP4" s="199" t="s">
        <v>1</v>
      </c>
      <c r="FQ4" s="201"/>
      <c r="FR4" s="200" t="s">
        <v>341</v>
      </c>
      <c r="FS4" s="184"/>
      <c r="FT4" s="200" t="s">
        <v>343</v>
      </c>
      <c r="FU4" s="184"/>
      <c r="FV4" s="199" t="s">
        <v>345</v>
      </c>
      <c r="FW4" s="184"/>
      <c r="FX4" s="199" t="s">
        <v>347</v>
      </c>
      <c r="FY4" s="184"/>
      <c r="FZ4" s="199" t="s">
        <v>349</v>
      </c>
      <c r="GA4" s="201"/>
      <c r="GB4" s="159" t="s">
        <v>338</v>
      </c>
      <c r="GC4" s="176"/>
      <c r="GD4" s="211" t="s">
        <v>352</v>
      </c>
      <c r="GE4" s="184"/>
      <c r="GF4" s="199" t="s">
        <v>354</v>
      </c>
      <c r="GG4" s="201"/>
      <c r="GH4" s="199" t="s">
        <v>356</v>
      </c>
      <c r="GI4" s="201"/>
      <c r="GJ4" s="199" t="s">
        <v>358</v>
      </c>
      <c r="GK4" s="201"/>
      <c r="GL4" s="199" t="s">
        <v>360</v>
      </c>
      <c r="GM4" s="252"/>
      <c r="GN4" s="199" t="s">
        <v>362</v>
      </c>
      <c r="GO4" s="252"/>
      <c r="GP4" s="199" t="s">
        <v>364</v>
      </c>
      <c r="GQ4" s="184"/>
      <c r="GR4" s="199" t="s">
        <v>319</v>
      </c>
      <c r="GS4" s="184"/>
      <c r="GT4" s="199" t="s">
        <v>360</v>
      </c>
      <c r="GU4" s="184"/>
      <c r="GV4" s="199" t="s">
        <v>165</v>
      </c>
      <c r="GW4" s="184"/>
      <c r="GX4" s="199" t="s">
        <v>163</v>
      </c>
      <c r="GY4" s="184"/>
      <c r="GZ4" s="199" t="s">
        <v>168</v>
      </c>
      <c r="HA4" s="184"/>
      <c r="HB4" s="199" t="s">
        <v>170</v>
      </c>
      <c r="HC4" s="184"/>
      <c r="HD4" s="183" t="s">
        <v>48</v>
      </c>
      <c r="HE4" s="184"/>
      <c r="HF4" s="159" t="s">
        <v>336</v>
      </c>
      <c r="HG4" s="184"/>
      <c r="HH4" s="199" t="s">
        <v>174</v>
      </c>
      <c r="HI4" s="184"/>
      <c r="HJ4" s="159" t="s">
        <v>173</v>
      </c>
      <c r="HK4" s="184"/>
      <c r="HL4" s="159" t="s">
        <v>99</v>
      </c>
      <c r="HM4" s="184"/>
      <c r="HN4" s="211" t="s">
        <v>178</v>
      </c>
      <c r="HO4" s="184"/>
      <c r="HP4" s="183" t="s">
        <v>49</v>
      </c>
      <c r="HQ4" s="184"/>
      <c r="HR4" s="200" t="s">
        <v>99</v>
      </c>
      <c r="HS4" s="184"/>
      <c r="HT4" s="199" t="s">
        <v>180</v>
      </c>
      <c r="HU4" s="184"/>
      <c r="HV4" s="199" t="s">
        <v>182</v>
      </c>
      <c r="HW4" s="184"/>
      <c r="HX4" s="183" t="s">
        <v>50</v>
      </c>
      <c r="HY4" s="271"/>
    </row>
    <row r="5" spans="1:233" ht="12.75" customHeight="1">
      <c r="A5" s="243"/>
      <c r="B5" s="246"/>
      <c r="C5" s="247"/>
      <c r="D5" s="225"/>
      <c r="E5" s="226"/>
      <c r="F5" s="225"/>
      <c r="G5" s="226"/>
      <c r="H5" s="230"/>
      <c r="I5" s="231"/>
      <c r="J5" s="177"/>
      <c r="K5" s="178"/>
      <c r="L5" s="177"/>
      <c r="M5" s="178"/>
      <c r="N5" s="221"/>
      <c r="O5" s="221"/>
      <c r="P5" s="221"/>
      <c r="Q5" s="221"/>
      <c r="R5" s="221"/>
      <c r="S5" s="221"/>
      <c r="T5" s="221"/>
      <c r="U5" s="221"/>
      <c r="V5" s="215"/>
      <c r="W5" s="216"/>
      <c r="X5" s="215"/>
      <c r="Y5" s="216"/>
      <c r="Z5" s="215"/>
      <c r="AA5" s="216"/>
      <c r="AB5" s="266"/>
      <c r="AC5" s="267"/>
      <c r="AD5" s="215"/>
      <c r="AE5" s="216"/>
      <c r="AF5" s="185"/>
      <c r="AG5" s="186"/>
      <c r="AH5" s="260"/>
      <c r="AI5" s="261"/>
      <c r="AJ5" s="270"/>
      <c r="AK5" s="270"/>
      <c r="AL5" s="177"/>
      <c r="AM5" s="178"/>
      <c r="AN5" s="177"/>
      <c r="AO5" s="178"/>
      <c r="AP5" s="221"/>
      <c r="AQ5" s="221"/>
      <c r="AR5" s="281"/>
      <c r="AS5" s="281"/>
      <c r="AT5" s="283"/>
      <c r="AU5" s="283"/>
      <c r="AV5" s="285"/>
      <c r="AW5" s="285"/>
      <c r="AX5" s="285"/>
      <c r="AY5" s="285"/>
      <c r="AZ5" s="281"/>
      <c r="BA5" s="281"/>
      <c r="BB5" s="185"/>
      <c r="BC5" s="186"/>
      <c r="BD5" s="185"/>
      <c r="BE5" s="186"/>
      <c r="BF5" s="202"/>
      <c r="BG5" s="203"/>
      <c r="BH5" s="177"/>
      <c r="BI5" s="178"/>
      <c r="BJ5" s="177"/>
      <c r="BK5" s="178"/>
      <c r="BL5" s="177"/>
      <c r="BM5" s="178"/>
      <c r="BN5" s="195"/>
      <c r="BO5" s="196"/>
      <c r="BP5" s="177"/>
      <c r="BQ5" s="178"/>
      <c r="BR5" s="177"/>
      <c r="BS5" s="178"/>
      <c r="BT5" s="202"/>
      <c r="BU5" s="203"/>
      <c r="BV5" s="202"/>
      <c r="BW5" s="203"/>
      <c r="BX5" s="215"/>
      <c r="BY5" s="216"/>
      <c r="BZ5" s="202"/>
      <c r="CA5" s="203"/>
      <c r="CB5" s="215"/>
      <c r="CC5" s="216"/>
      <c r="CD5" s="215"/>
      <c r="CE5" s="216"/>
      <c r="CF5" s="185"/>
      <c r="CG5" s="186"/>
      <c r="CH5" s="195"/>
      <c r="CI5" s="196"/>
      <c r="CJ5" s="177"/>
      <c r="CK5" s="178"/>
      <c r="CL5" s="177"/>
      <c r="CM5" s="178"/>
      <c r="CN5" s="177"/>
      <c r="CO5" s="178"/>
      <c r="CP5" s="177"/>
      <c r="CQ5" s="178"/>
      <c r="CR5" s="177"/>
      <c r="CS5" s="178"/>
      <c r="CT5" s="177"/>
      <c r="CU5" s="178"/>
      <c r="CV5" s="177"/>
      <c r="CW5" s="178"/>
      <c r="CX5" s="177"/>
      <c r="CY5" s="178"/>
      <c r="CZ5" s="177"/>
      <c r="DA5" s="178"/>
      <c r="DB5" s="177"/>
      <c r="DC5" s="178"/>
      <c r="DD5" s="177"/>
      <c r="DE5" s="178"/>
      <c r="DF5" s="185"/>
      <c r="DG5" s="186"/>
      <c r="DH5" s="177"/>
      <c r="DI5" s="178"/>
      <c r="DJ5" s="185"/>
      <c r="DK5" s="186"/>
      <c r="DL5" s="202"/>
      <c r="DM5" s="203"/>
      <c r="DN5" s="202"/>
      <c r="DO5" s="203"/>
      <c r="DP5" s="185"/>
      <c r="DQ5" s="186"/>
      <c r="DR5" s="177"/>
      <c r="DS5" s="178"/>
      <c r="DT5" s="185"/>
      <c r="DU5" s="186"/>
      <c r="DV5" s="185"/>
      <c r="DW5" s="186"/>
      <c r="DX5" s="185"/>
      <c r="DY5" s="186"/>
      <c r="DZ5" s="185"/>
      <c r="EA5" s="186"/>
      <c r="EB5" s="185"/>
      <c r="EC5" s="186"/>
      <c r="ED5" s="185"/>
      <c r="EE5" s="186"/>
      <c r="EF5" s="177"/>
      <c r="EG5" s="178"/>
      <c r="EH5" s="177"/>
      <c r="EI5" s="178"/>
      <c r="EJ5" s="177"/>
      <c r="EK5" s="178"/>
      <c r="EL5" s="202"/>
      <c r="EM5" s="203"/>
      <c r="EN5" s="177"/>
      <c r="EO5" s="178"/>
      <c r="EP5" s="177"/>
      <c r="EQ5" s="178"/>
      <c r="ER5" s="177"/>
      <c r="ES5" s="178"/>
      <c r="ET5" s="185"/>
      <c r="EU5" s="186"/>
      <c r="EV5" s="177"/>
      <c r="EW5" s="178"/>
      <c r="EX5" s="177"/>
      <c r="EY5" s="178"/>
      <c r="EZ5" s="185"/>
      <c r="FA5" s="186"/>
      <c r="FB5" s="185"/>
      <c r="FC5" s="186"/>
      <c r="FD5" s="177"/>
      <c r="FE5" s="178"/>
      <c r="FF5" s="177"/>
      <c r="FG5" s="178"/>
      <c r="FH5" s="185"/>
      <c r="FI5" s="186"/>
      <c r="FJ5" s="177"/>
      <c r="FK5" s="178"/>
      <c r="FL5" s="177"/>
      <c r="FM5" s="178"/>
      <c r="FN5" s="177"/>
      <c r="FO5" s="178"/>
      <c r="FP5" s="202"/>
      <c r="FQ5" s="203"/>
      <c r="FR5" s="185"/>
      <c r="FS5" s="186"/>
      <c r="FT5" s="185"/>
      <c r="FU5" s="186"/>
      <c r="FV5" s="185"/>
      <c r="FW5" s="186"/>
      <c r="FX5" s="185"/>
      <c r="FY5" s="186"/>
      <c r="FZ5" s="202"/>
      <c r="GA5" s="203"/>
      <c r="GB5" s="177"/>
      <c r="GC5" s="178"/>
      <c r="GD5" s="185"/>
      <c r="GE5" s="186"/>
      <c r="GF5" s="202"/>
      <c r="GG5" s="203"/>
      <c r="GH5" s="202"/>
      <c r="GI5" s="203"/>
      <c r="GJ5" s="202"/>
      <c r="GK5" s="203"/>
      <c r="GL5" s="253"/>
      <c r="GM5" s="254"/>
      <c r="GN5" s="253"/>
      <c r="GO5" s="254"/>
      <c r="GP5" s="185"/>
      <c r="GQ5" s="186"/>
      <c r="GR5" s="185"/>
      <c r="GS5" s="186"/>
      <c r="GT5" s="185"/>
      <c r="GU5" s="186"/>
      <c r="GV5" s="185"/>
      <c r="GW5" s="186"/>
      <c r="GX5" s="185"/>
      <c r="GY5" s="186"/>
      <c r="GZ5" s="185"/>
      <c r="HA5" s="186"/>
      <c r="HB5" s="185"/>
      <c r="HC5" s="186"/>
      <c r="HD5" s="185"/>
      <c r="HE5" s="186"/>
      <c r="HF5" s="185"/>
      <c r="HG5" s="186"/>
      <c r="HH5" s="185"/>
      <c r="HI5" s="186"/>
      <c r="HJ5" s="185"/>
      <c r="HK5" s="186"/>
      <c r="HL5" s="185"/>
      <c r="HM5" s="186"/>
      <c r="HN5" s="185"/>
      <c r="HO5" s="186"/>
      <c r="HP5" s="185"/>
      <c r="HQ5" s="186"/>
      <c r="HR5" s="185"/>
      <c r="HS5" s="186"/>
      <c r="HT5" s="185"/>
      <c r="HU5" s="186"/>
      <c r="HV5" s="185"/>
      <c r="HW5" s="186"/>
      <c r="HX5" s="272"/>
      <c r="HY5" s="273"/>
    </row>
    <row r="6" spans="1:233" ht="12.75">
      <c r="A6" s="243"/>
      <c r="B6" s="246"/>
      <c r="C6" s="247"/>
      <c r="D6" s="225"/>
      <c r="E6" s="226"/>
      <c r="F6" s="225"/>
      <c r="G6" s="226"/>
      <c r="H6" s="230"/>
      <c r="I6" s="231"/>
      <c r="J6" s="177"/>
      <c r="K6" s="178"/>
      <c r="L6" s="177"/>
      <c r="M6" s="178"/>
      <c r="N6" s="221"/>
      <c r="O6" s="221"/>
      <c r="P6" s="221"/>
      <c r="Q6" s="221"/>
      <c r="R6" s="221"/>
      <c r="S6" s="221"/>
      <c r="T6" s="221"/>
      <c r="U6" s="221"/>
      <c r="V6" s="215"/>
      <c r="W6" s="216"/>
      <c r="X6" s="215"/>
      <c r="Y6" s="216"/>
      <c r="Z6" s="215"/>
      <c r="AA6" s="216"/>
      <c r="AB6" s="266"/>
      <c r="AC6" s="267"/>
      <c r="AD6" s="215"/>
      <c r="AE6" s="216"/>
      <c r="AF6" s="185"/>
      <c r="AG6" s="186"/>
      <c r="AH6" s="260"/>
      <c r="AI6" s="261"/>
      <c r="AJ6" s="270"/>
      <c r="AK6" s="270"/>
      <c r="AL6" s="177"/>
      <c r="AM6" s="178"/>
      <c r="AN6" s="177"/>
      <c r="AO6" s="178"/>
      <c r="AP6" s="221"/>
      <c r="AQ6" s="221"/>
      <c r="AR6" s="281"/>
      <c r="AS6" s="281"/>
      <c r="AT6" s="283"/>
      <c r="AU6" s="283"/>
      <c r="AV6" s="285"/>
      <c r="AW6" s="285"/>
      <c r="AX6" s="285"/>
      <c r="AY6" s="285"/>
      <c r="AZ6" s="281"/>
      <c r="BA6" s="281"/>
      <c r="BB6" s="185"/>
      <c r="BC6" s="186"/>
      <c r="BD6" s="185"/>
      <c r="BE6" s="186"/>
      <c r="BF6" s="202"/>
      <c r="BG6" s="203"/>
      <c r="BH6" s="177"/>
      <c r="BI6" s="178"/>
      <c r="BJ6" s="177"/>
      <c r="BK6" s="178"/>
      <c r="BL6" s="177"/>
      <c r="BM6" s="178"/>
      <c r="BN6" s="195"/>
      <c r="BO6" s="196"/>
      <c r="BP6" s="177"/>
      <c r="BQ6" s="178"/>
      <c r="BR6" s="177"/>
      <c r="BS6" s="178"/>
      <c r="BT6" s="202"/>
      <c r="BU6" s="203"/>
      <c r="BV6" s="202"/>
      <c r="BW6" s="203"/>
      <c r="BX6" s="215"/>
      <c r="BY6" s="216"/>
      <c r="BZ6" s="202"/>
      <c r="CA6" s="203"/>
      <c r="CB6" s="215"/>
      <c r="CC6" s="216"/>
      <c r="CD6" s="215"/>
      <c r="CE6" s="216"/>
      <c r="CF6" s="185"/>
      <c r="CG6" s="186"/>
      <c r="CH6" s="195"/>
      <c r="CI6" s="196"/>
      <c r="CJ6" s="177"/>
      <c r="CK6" s="178"/>
      <c r="CL6" s="177"/>
      <c r="CM6" s="178"/>
      <c r="CN6" s="177"/>
      <c r="CO6" s="178"/>
      <c r="CP6" s="177"/>
      <c r="CQ6" s="178"/>
      <c r="CR6" s="177"/>
      <c r="CS6" s="178"/>
      <c r="CT6" s="177"/>
      <c r="CU6" s="178"/>
      <c r="CV6" s="177"/>
      <c r="CW6" s="178"/>
      <c r="CX6" s="177"/>
      <c r="CY6" s="178"/>
      <c r="CZ6" s="177"/>
      <c r="DA6" s="178"/>
      <c r="DB6" s="177"/>
      <c r="DC6" s="178"/>
      <c r="DD6" s="177"/>
      <c r="DE6" s="178"/>
      <c r="DF6" s="185"/>
      <c r="DG6" s="186"/>
      <c r="DH6" s="177"/>
      <c r="DI6" s="178"/>
      <c r="DJ6" s="185"/>
      <c r="DK6" s="186"/>
      <c r="DL6" s="202"/>
      <c r="DM6" s="203"/>
      <c r="DN6" s="202"/>
      <c r="DO6" s="203"/>
      <c r="DP6" s="185"/>
      <c r="DQ6" s="186"/>
      <c r="DR6" s="177"/>
      <c r="DS6" s="178"/>
      <c r="DT6" s="185"/>
      <c r="DU6" s="186"/>
      <c r="DV6" s="185"/>
      <c r="DW6" s="186"/>
      <c r="DX6" s="185"/>
      <c r="DY6" s="186"/>
      <c r="DZ6" s="185"/>
      <c r="EA6" s="186"/>
      <c r="EB6" s="185"/>
      <c r="EC6" s="186"/>
      <c r="ED6" s="185"/>
      <c r="EE6" s="186"/>
      <c r="EF6" s="177"/>
      <c r="EG6" s="178"/>
      <c r="EH6" s="177"/>
      <c r="EI6" s="178"/>
      <c r="EJ6" s="177"/>
      <c r="EK6" s="178"/>
      <c r="EL6" s="202"/>
      <c r="EM6" s="203"/>
      <c r="EN6" s="177"/>
      <c r="EO6" s="178"/>
      <c r="EP6" s="177"/>
      <c r="EQ6" s="178"/>
      <c r="ER6" s="177"/>
      <c r="ES6" s="178"/>
      <c r="ET6" s="185"/>
      <c r="EU6" s="186"/>
      <c r="EV6" s="177"/>
      <c r="EW6" s="178"/>
      <c r="EX6" s="177"/>
      <c r="EY6" s="178"/>
      <c r="EZ6" s="185"/>
      <c r="FA6" s="186"/>
      <c r="FB6" s="185"/>
      <c r="FC6" s="186"/>
      <c r="FD6" s="177"/>
      <c r="FE6" s="178"/>
      <c r="FF6" s="177"/>
      <c r="FG6" s="178"/>
      <c r="FH6" s="185"/>
      <c r="FI6" s="186"/>
      <c r="FJ6" s="177"/>
      <c r="FK6" s="178"/>
      <c r="FL6" s="177"/>
      <c r="FM6" s="178"/>
      <c r="FN6" s="177"/>
      <c r="FO6" s="178"/>
      <c r="FP6" s="202"/>
      <c r="FQ6" s="203"/>
      <c r="FR6" s="185"/>
      <c r="FS6" s="186"/>
      <c r="FT6" s="185"/>
      <c r="FU6" s="186"/>
      <c r="FV6" s="185"/>
      <c r="FW6" s="186"/>
      <c r="FX6" s="185"/>
      <c r="FY6" s="186"/>
      <c r="FZ6" s="202"/>
      <c r="GA6" s="203"/>
      <c r="GB6" s="177"/>
      <c r="GC6" s="178"/>
      <c r="GD6" s="185"/>
      <c r="GE6" s="186"/>
      <c r="GF6" s="202"/>
      <c r="GG6" s="203"/>
      <c r="GH6" s="202"/>
      <c r="GI6" s="203"/>
      <c r="GJ6" s="202"/>
      <c r="GK6" s="203"/>
      <c r="GL6" s="253"/>
      <c r="GM6" s="254"/>
      <c r="GN6" s="253"/>
      <c r="GO6" s="254"/>
      <c r="GP6" s="185"/>
      <c r="GQ6" s="186"/>
      <c r="GR6" s="185"/>
      <c r="GS6" s="186"/>
      <c r="GT6" s="185"/>
      <c r="GU6" s="186"/>
      <c r="GV6" s="185"/>
      <c r="GW6" s="186"/>
      <c r="GX6" s="185"/>
      <c r="GY6" s="186"/>
      <c r="GZ6" s="185"/>
      <c r="HA6" s="186"/>
      <c r="HB6" s="185"/>
      <c r="HC6" s="186"/>
      <c r="HD6" s="185"/>
      <c r="HE6" s="186"/>
      <c r="HF6" s="185"/>
      <c r="HG6" s="186"/>
      <c r="HH6" s="185"/>
      <c r="HI6" s="186"/>
      <c r="HJ6" s="185"/>
      <c r="HK6" s="186"/>
      <c r="HL6" s="185"/>
      <c r="HM6" s="186"/>
      <c r="HN6" s="185"/>
      <c r="HO6" s="186"/>
      <c r="HP6" s="185"/>
      <c r="HQ6" s="186"/>
      <c r="HR6" s="185"/>
      <c r="HS6" s="186"/>
      <c r="HT6" s="185"/>
      <c r="HU6" s="186"/>
      <c r="HV6" s="185"/>
      <c r="HW6" s="186"/>
      <c r="HX6" s="272"/>
      <c r="HY6" s="273"/>
    </row>
    <row r="7" spans="1:233" ht="244.5" customHeight="1">
      <c r="A7" s="243"/>
      <c r="B7" s="248"/>
      <c r="C7" s="249"/>
      <c r="D7" s="227"/>
      <c r="E7" s="228"/>
      <c r="F7" s="227"/>
      <c r="G7" s="228"/>
      <c r="H7" s="232"/>
      <c r="I7" s="233"/>
      <c r="J7" s="179"/>
      <c r="K7" s="180"/>
      <c r="L7" s="179"/>
      <c r="M7" s="180"/>
      <c r="N7" s="221"/>
      <c r="O7" s="221"/>
      <c r="P7" s="221"/>
      <c r="Q7" s="221"/>
      <c r="R7" s="221"/>
      <c r="S7" s="221"/>
      <c r="T7" s="221"/>
      <c r="U7" s="221"/>
      <c r="V7" s="217"/>
      <c r="W7" s="218"/>
      <c r="X7" s="217"/>
      <c r="Y7" s="218"/>
      <c r="Z7" s="217"/>
      <c r="AA7" s="218"/>
      <c r="AB7" s="268"/>
      <c r="AC7" s="269"/>
      <c r="AD7" s="217"/>
      <c r="AE7" s="218"/>
      <c r="AF7" s="187"/>
      <c r="AG7" s="188"/>
      <c r="AH7" s="262"/>
      <c r="AI7" s="263"/>
      <c r="AJ7" s="270"/>
      <c r="AK7" s="270"/>
      <c r="AL7" s="179"/>
      <c r="AM7" s="180"/>
      <c r="AN7" s="179"/>
      <c r="AO7" s="180"/>
      <c r="AP7" s="221"/>
      <c r="AQ7" s="221"/>
      <c r="AR7" s="281"/>
      <c r="AS7" s="281"/>
      <c r="AT7" s="283"/>
      <c r="AU7" s="283"/>
      <c r="AV7" s="285"/>
      <c r="AW7" s="285"/>
      <c r="AX7" s="285"/>
      <c r="AY7" s="285"/>
      <c r="AZ7" s="281"/>
      <c r="BA7" s="281"/>
      <c r="BB7" s="187"/>
      <c r="BC7" s="188"/>
      <c r="BD7" s="187"/>
      <c r="BE7" s="188"/>
      <c r="BF7" s="204"/>
      <c r="BG7" s="205"/>
      <c r="BH7" s="179"/>
      <c r="BI7" s="180"/>
      <c r="BJ7" s="179"/>
      <c r="BK7" s="180"/>
      <c r="BL7" s="179"/>
      <c r="BM7" s="180"/>
      <c r="BN7" s="197"/>
      <c r="BO7" s="198"/>
      <c r="BP7" s="179"/>
      <c r="BQ7" s="180"/>
      <c r="BR7" s="179"/>
      <c r="BS7" s="180"/>
      <c r="BT7" s="204"/>
      <c r="BU7" s="205"/>
      <c r="BV7" s="204"/>
      <c r="BW7" s="205"/>
      <c r="BX7" s="217"/>
      <c r="BY7" s="218"/>
      <c r="BZ7" s="204"/>
      <c r="CA7" s="205"/>
      <c r="CB7" s="217"/>
      <c r="CC7" s="218"/>
      <c r="CD7" s="217"/>
      <c r="CE7" s="218"/>
      <c r="CF7" s="187"/>
      <c r="CG7" s="188"/>
      <c r="CH7" s="197"/>
      <c r="CI7" s="198"/>
      <c r="CJ7" s="179"/>
      <c r="CK7" s="180"/>
      <c r="CL7" s="179"/>
      <c r="CM7" s="180"/>
      <c r="CN7" s="179"/>
      <c r="CO7" s="180"/>
      <c r="CP7" s="179"/>
      <c r="CQ7" s="180"/>
      <c r="CR7" s="179"/>
      <c r="CS7" s="180"/>
      <c r="CT7" s="179"/>
      <c r="CU7" s="180"/>
      <c r="CV7" s="179"/>
      <c r="CW7" s="180"/>
      <c r="CX7" s="179"/>
      <c r="CY7" s="180"/>
      <c r="CZ7" s="179"/>
      <c r="DA7" s="180"/>
      <c r="DB7" s="179"/>
      <c r="DC7" s="180"/>
      <c r="DD7" s="179"/>
      <c r="DE7" s="180"/>
      <c r="DF7" s="187"/>
      <c r="DG7" s="188"/>
      <c r="DH7" s="179"/>
      <c r="DI7" s="180"/>
      <c r="DJ7" s="187"/>
      <c r="DK7" s="188"/>
      <c r="DL7" s="204"/>
      <c r="DM7" s="205"/>
      <c r="DN7" s="204"/>
      <c r="DO7" s="205"/>
      <c r="DP7" s="187"/>
      <c r="DQ7" s="188"/>
      <c r="DR7" s="179"/>
      <c r="DS7" s="180"/>
      <c r="DT7" s="187"/>
      <c r="DU7" s="188"/>
      <c r="DV7" s="187"/>
      <c r="DW7" s="188"/>
      <c r="DX7" s="187"/>
      <c r="DY7" s="188"/>
      <c r="DZ7" s="187"/>
      <c r="EA7" s="188"/>
      <c r="EB7" s="187"/>
      <c r="EC7" s="188"/>
      <c r="ED7" s="187"/>
      <c r="EE7" s="188"/>
      <c r="EF7" s="179"/>
      <c r="EG7" s="180"/>
      <c r="EH7" s="179"/>
      <c r="EI7" s="180"/>
      <c r="EJ7" s="179"/>
      <c r="EK7" s="180"/>
      <c r="EL7" s="204"/>
      <c r="EM7" s="205"/>
      <c r="EN7" s="179"/>
      <c r="EO7" s="180"/>
      <c r="EP7" s="179"/>
      <c r="EQ7" s="180"/>
      <c r="ER7" s="179"/>
      <c r="ES7" s="180"/>
      <c r="ET7" s="187"/>
      <c r="EU7" s="188"/>
      <c r="EV7" s="179"/>
      <c r="EW7" s="180"/>
      <c r="EX7" s="179"/>
      <c r="EY7" s="180"/>
      <c r="EZ7" s="187"/>
      <c r="FA7" s="188"/>
      <c r="FB7" s="187"/>
      <c r="FC7" s="188"/>
      <c r="FD7" s="179"/>
      <c r="FE7" s="180"/>
      <c r="FF7" s="179"/>
      <c r="FG7" s="180"/>
      <c r="FH7" s="187"/>
      <c r="FI7" s="188"/>
      <c r="FJ7" s="179"/>
      <c r="FK7" s="180"/>
      <c r="FL7" s="179"/>
      <c r="FM7" s="180"/>
      <c r="FN7" s="179"/>
      <c r="FO7" s="180"/>
      <c r="FP7" s="204"/>
      <c r="FQ7" s="205"/>
      <c r="FR7" s="187"/>
      <c r="FS7" s="188"/>
      <c r="FT7" s="187"/>
      <c r="FU7" s="188"/>
      <c r="FV7" s="187"/>
      <c r="FW7" s="188"/>
      <c r="FX7" s="187"/>
      <c r="FY7" s="188"/>
      <c r="FZ7" s="204"/>
      <c r="GA7" s="205"/>
      <c r="GB7" s="179"/>
      <c r="GC7" s="180"/>
      <c r="GD7" s="187"/>
      <c r="GE7" s="188"/>
      <c r="GF7" s="204"/>
      <c r="GG7" s="205"/>
      <c r="GH7" s="204"/>
      <c r="GI7" s="205"/>
      <c r="GJ7" s="204"/>
      <c r="GK7" s="205"/>
      <c r="GL7" s="255"/>
      <c r="GM7" s="256"/>
      <c r="GN7" s="255"/>
      <c r="GO7" s="256"/>
      <c r="GP7" s="187"/>
      <c r="GQ7" s="188"/>
      <c r="GR7" s="187"/>
      <c r="GS7" s="188"/>
      <c r="GT7" s="187"/>
      <c r="GU7" s="188"/>
      <c r="GV7" s="187"/>
      <c r="GW7" s="188"/>
      <c r="GX7" s="187"/>
      <c r="GY7" s="188"/>
      <c r="GZ7" s="187"/>
      <c r="HA7" s="188"/>
      <c r="HB7" s="187"/>
      <c r="HC7" s="188"/>
      <c r="HD7" s="187"/>
      <c r="HE7" s="188"/>
      <c r="HF7" s="187"/>
      <c r="HG7" s="188"/>
      <c r="HH7" s="187"/>
      <c r="HI7" s="188"/>
      <c r="HJ7" s="187"/>
      <c r="HK7" s="188"/>
      <c r="HL7" s="187"/>
      <c r="HM7" s="188"/>
      <c r="HN7" s="187"/>
      <c r="HO7" s="188"/>
      <c r="HP7" s="187"/>
      <c r="HQ7" s="188"/>
      <c r="HR7" s="187"/>
      <c r="HS7" s="188"/>
      <c r="HT7" s="187"/>
      <c r="HU7" s="188"/>
      <c r="HV7" s="187"/>
      <c r="HW7" s="188"/>
      <c r="HX7" s="274"/>
      <c r="HY7" s="275"/>
    </row>
    <row r="8" spans="1:233" ht="13.5" customHeight="1" hidden="1">
      <c r="A8" s="243"/>
      <c r="B8" s="60"/>
      <c r="C8" s="119" t="s">
        <v>105</v>
      </c>
      <c r="D8" s="61"/>
      <c r="E8" s="119" t="s">
        <v>106</v>
      </c>
      <c r="F8" s="61"/>
      <c r="G8" s="62" t="s">
        <v>318</v>
      </c>
      <c r="H8" s="62"/>
      <c r="I8" s="63">
        <v>9995010</v>
      </c>
      <c r="J8" s="61"/>
      <c r="K8" s="62" t="s">
        <v>320</v>
      </c>
      <c r="L8" s="62"/>
      <c r="M8" s="62" t="s">
        <v>321</v>
      </c>
      <c r="N8" s="62"/>
      <c r="O8" s="62" t="s">
        <v>322</v>
      </c>
      <c r="P8" s="62"/>
      <c r="Q8" s="62" t="s">
        <v>323</v>
      </c>
      <c r="R8" s="62"/>
      <c r="S8" s="62" t="s">
        <v>324</v>
      </c>
      <c r="T8" s="62"/>
      <c r="U8" s="62" t="s">
        <v>325</v>
      </c>
      <c r="V8" s="62"/>
      <c r="W8" s="62" t="s">
        <v>326</v>
      </c>
      <c r="X8" s="64"/>
      <c r="Y8" s="64" t="s">
        <v>327</v>
      </c>
      <c r="Z8" s="65"/>
      <c r="AA8" s="65" t="s">
        <v>329</v>
      </c>
      <c r="AB8" s="65"/>
      <c r="AC8" s="66" t="s">
        <v>329</v>
      </c>
      <c r="AD8" s="65"/>
      <c r="AE8" s="66" t="s">
        <v>331</v>
      </c>
      <c r="AF8" s="65"/>
      <c r="AG8" s="66" t="s">
        <v>332</v>
      </c>
      <c r="AH8" s="125"/>
      <c r="AI8" s="67"/>
      <c r="AJ8" s="67"/>
      <c r="AK8" s="68" t="s">
        <v>333</v>
      </c>
      <c r="AL8" s="67"/>
      <c r="AM8" s="68" t="s">
        <v>334</v>
      </c>
      <c r="AN8" s="67"/>
      <c r="AO8" s="129">
        <v>2307029</v>
      </c>
      <c r="AP8" s="69"/>
      <c r="AQ8" s="68" t="s">
        <v>368</v>
      </c>
      <c r="AR8" s="67"/>
      <c r="AS8" s="70" t="s">
        <v>369</v>
      </c>
      <c r="AT8" s="71"/>
      <c r="AU8" s="70" t="s">
        <v>370</v>
      </c>
      <c r="AV8" s="71"/>
      <c r="AW8" s="70" t="s">
        <v>371</v>
      </c>
      <c r="AX8" s="71"/>
      <c r="AY8" s="72" t="s">
        <v>372</v>
      </c>
      <c r="AZ8" s="82"/>
      <c r="BA8" s="82"/>
      <c r="BB8" s="92"/>
      <c r="BC8" s="131">
        <v>9995930</v>
      </c>
      <c r="BD8" s="73"/>
      <c r="BE8" s="70" t="s">
        <v>374</v>
      </c>
      <c r="BF8" s="71"/>
      <c r="BG8" s="70" t="s">
        <v>376</v>
      </c>
      <c r="BH8" s="74"/>
      <c r="BI8" s="75" t="s">
        <v>377</v>
      </c>
      <c r="BJ8" s="74"/>
      <c r="BK8" s="70" t="s">
        <v>380</v>
      </c>
      <c r="BL8" s="71"/>
      <c r="BM8" s="70" t="s">
        <v>382</v>
      </c>
      <c r="BN8" s="71"/>
      <c r="BO8" s="70" t="s">
        <v>384</v>
      </c>
      <c r="BP8" s="71"/>
      <c r="BQ8" s="72" t="s">
        <v>12</v>
      </c>
      <c r="BR8" s="76"/>
      <c r="BS8" s="77" t="s">
        <v>14</v>
      </c>
      <c r="BT8" s="76"/>
      <c r="BU8" s="70" t="s">
        <v>16</v>
      </c>
      <c r="BV8" s="71"/>
      <c r="BW8" s="70" t="s">
        <v>18</v>
      </c>
      <c r="BX8" s="71"/>
      <c r="BY8" s="70" t="s">
        <v>19</v>
      </c>
      <c r="BZ8" s="78"/>
      <c r="CA8" s="79" t="s">
        <v>21</v>
      </c>
      <c r="CB8" s="78"/>
      <c r="CC8" s="70" t="s">
        <v>23</v>
      </c>
      <c r="CD8" s="71"/>
      <c r="CE8" s="70" t="s">
        <v>59</v>
      </c>
      <c r="CF8" s="76"/>
      <c r="CG8" s="83"/>
      <c r="CH8" s="76"/>
      <c r="CI8" s="77" t="s">
        <v>61</v>
      </c>
      <c r="CJ8" s="76"/>
      <c r="CK8" s="77" t="s">
        <v>65</v>
      </c>
      <c r="CL8" s="80"/>
      <c r="CM8" s="75" t="s">
        <v>67</v>
      </c>
      <c r="CN8" s="80"/>
      <c r="CO8" s="81" t="s">
        <v>69</v>
      </c>
      <c r="CP8" s="80"/>
      <c r="CQ8" s="72" t="s">
        <v>71</v>
      </c>
      <c r="CR8" s="82"/>
      <c r="CS8" s="72" t="s">
        <v>73</v>
      </c>
      <c r="CT8" s="83"/>
      <c r="CU8" s="84" t="s">
        <v>75</v>
      </c>
      <c r="CV8" s="83"/>
      <c r="CW8" s="72" t="s">
        <v>77</v>
      </c>
      <c r="CX8" s="82"/>
      <c r="CY8" s="72" t="s">
        <v>79</v>
      </c>
      <c r="CZ8" s="82"/>
      <c r="DA8" s="72" t="s">
        <v>81</v>
      </c>
      <c r="DB8" s="74"/>
      <c r="DC8" s="75" t="s">
        <v>31</v>
      </c>
      <c r="DD8" s="74"/>
      <c r="DE8" s="75" t="s">
        <v>83</v>
      </c>
      <c r="DF8" s="74"/>
      <c r="DG8" s="131"/>
      <c r="DH8" s="73"/>
      <c r="DI8" s="70" t="s">
        <v>85</v>
      </c>
      <c r="DJ8" s="74"/>
      <c r="DK8" s="131"/>
      <c r="DL8" s="70" t="s">
        <v>63</v>
      </c>
      <c r="DM8" s="70" t="s">
        <v>87</v>
      </c>
      <c r="DN8" s="71"/>
      <c r="DO8" s="70" t="s">
        <v>89</v>
      </c>
      <c r="DP8" s="74"/>
      <c r="DQ8" s="131"/>
      <c r="DR8" s="73"/>
      <c r="DS8" s="70" t="s">
        <v>90</v>
      </c>
      <c r="DT8" s="71"/>
      <c r="DU8" s="70" t="s">
        <v>92</v>
      </c>
      <c r="DV8" s="71"/>
      <c r="DW8" s="70" t="s">
        <v>94</v>
      </c>
      <c r="DX8" s="71"/>
      <c r="DY8" s="70" t="s">
        <v>96</v>
      </c>
      <c r="DZ8" s="71"/>
      <c r="EA8" s="70" t="s">
        <v>98</v>
      </c>
      <c r="EB8" s="71"/>
      <c r="EC8" s="70" t="s">
        <v>100</v>
      </c>
      <c r="ED8" s="71"/>
      <c r="EE8" s="70" t="s">
        <v>102</v>
      </c>
      <c r="EF8" s="71"/>
      <c r="EG8" s="70" t="s">
        <v>104</v>
      </c>
      <c r="EH8" s="71"/>
      <c r="EI8" s="70" t="s">
        <v>112</v>
      </c>
      <c r="EJ8" s="76"/>
      <c r="EK8" s="77" t="s">
        <v>114</v>
      </c>
      <c r="EL8" s="76"/>
      <c r="EM8" s="77" t="s">
        <v>116</v>
      </c>
      <c r="EN8" s="76"/>
      <c r="EO8" s="77" t="s">
        <v>385</v>
      </c>
      <c r="EP8" s="76"/>
      <c r="EQ8" s="70" t="s">
        <v>387</v>
      </c>
      <c r="ER8" s="71"/>
      <c r="ES8" s="70" t="s">
        <v>389</v>
      </c>
      <c r="ET8" s="71"/>
      <c r="EU8" s="70" t="s">
        <v>391</v>
      </c>
      <c r="EV8" s="74"/>
      <c r="EW8" s="75" t="s">
        <v>393</v>
      </c>
      <c r="EX8" s="80"/>
      <c r="EY8" s="77" t="s">
        <v>3</v>
      </c>
      <c r="EZ8" s="76"/>
      <c r="FA8" s="77" t="s">
        <v>5</v>
      </c>
      <c r="FB8" s="76"/>
      <c r="FC8" s="85"/>
      <c r="FD8" s="85"/>
      <c r="FE8" s="70" t="s">
        <v>7</v>
      </c>
      <c r="FF8" s="71"/>
      <c r="FG8" s="70" t="s">
        <v>9</v>
      </c>
      <c r="FH8" s="71"/>
      <c r="FI8" s="130"/>
      <c r="FJ8" s="85"/>
      <c r="FK8" s="70" t="s">
        <v>335</v>
      </c>
      <c r="FL8" s="71"/>
      <c r="FM8" s="70" t="s">
        <v>100</v>
      </c>
      <c r="FN8" s="71"/>
      <c r="FO8" s="72" t="s">
        <v>337</v>
      </c>
      <c r="FP8" s="76"/>
      <c r="FQ8" s="77" t="s">
        <v>339</v>
      </c>
      <c r="FR8" s="76"/>
      <c r="FS8" s="70" t="s">
        <v>340</v>
      </c>
      <c r="FT8" s="71"/>
      <c r="FU8" s="70" t="s">
        <v>342</v>
      </c>
      <c r="FV8" s="71"/>
      <c r="FW8" s="72" t="s">
        <v>344</v>
      </c>
      <c r="FX8" s="76"/>
      <c r="FY8" s="77" t="s">
        <v>346</v>
      </c>
      <c r="FZ8" s="76"/>
      <c r="GA8" s="70" t="s">
        <v>348</v>
      </c>
      <c r="GB8" s="71"/>
      <c r="GC8" s="72" t="s">
        <v>350</v>
      </c>
      <c r="GD8" s="83"/>
      <c r="GE8" s="84" t="s">
        <v>351</v>
      </c>
      <c r="GF8" s="76"/>
      <c r="GG8" s="70" t="s">
        <v>353</v>
      </c>
      <c r="GH8" s="71"/>
      <c r="GI8" s="72" t="s">
        <v>355</v>
      </c>
      <c r="GJ8" s="71"/>
      <c r="GK8" s="70" t="s">
        <v>357</v>
      </c>
      <c r="GL8" s="71"/>
      <c r="GM8" s="70" t="s">
        <v>359</v>
      </c>
      <c r="GN8" s="71"/>
      <c r="GO8" s="70" t="s">
        <v>361</v>
      </c>
      <c r="GP8" s="71"/>
      <c r="GQ8" s="70" t="s">
        <v>363</v>
      </c>
      <c r="GR8" s="71"/>
      <c r="GS8" s="70" t="s">
        <v>365</v>
      </c>
      <c r="GT8" s="71"/>
      <c r="GU8" s="70" t="s">
        <v>162</v>
      </c>
      <c r="GV8" s="71"/>
      <c r="GW8" s="70" t="s">
        <v>164</v>
      </c>
      <c r="GX8" s="71"/>
      <c r="GY8" s="86" t="s">
        <v>167</v>
      </c>
      <c r="GZ8" s="87"/>
      <c r="HA8" s="70" t="s">
        <v>166</v>
      </c>
      <c r="HB8" s="71"/>
      <c r="HC8" s="70" t="s">
        <v>169</v>
      </c>
      <c r="HD8" s="76"/>
      <c r="HE8" s="83"/>
      <c r="HF8" s="76"/>
      <c r="HG8" s="70" t="s">
        <v>171</v>
      </c>
      <c r="HH8" s="71"/>
      <c r="HI8" s="70" t="s">
        <v>172</v>
      </c>
      <c r="HJ8" s="71"/>
      <c r="HK8" s="70" t="s">
        <v>175</v>
      </c>
      <c r="HL8" s="71"/>
      <c r="HM8" s="70" t="s">
        <v>176</v>
      </c>
      <c r="HN8" s="71"/>
      <c r="HO8" s="70" t="s">
        <v>177</v>
      </c>
      <c r="HP8" s="74"/>
      <c r="HQ8" s="131"/>
      <c r="HR8" s="88"/>
      <c r="HS8" s="70" t="s">
        <v>176</v>
      </c>
      <c r="HT8" s="71"/>
      <c r="HU8" s="70" t="s">
        <v>179</v>
      </c>
      <c r="HV8" s="71"/>
      <c r="HW8" s="72" t="s">
        <v>181</v>
      </c>
      <c r="HX8" s="82"/>
      <c r="HY8" s="82"/>
    </row>
    <row r="9" spans="1:233" s="5" customFormat="1" ht="10.5" customHeight="1">
      <c r="A9" s="243"/>
      <c r="B9" s="235" t="s">
        <v>188</v>
      </c>
      <c r="C9" s="210" t="s">
        <v>295</v>
      </c>
      <c r="D9" s="235" t="s">
        <v>188</v>
      </c>
      <c r="E9" s="234" t="s">
        <v>295</v>
      </c>
      <c r="F9" s="235" t="s">
        <v>188</v>
      </c>
      <c r="G9" s="234" t="s">
        <v>295</v>
      </c>
      <c r="H9" s="235" t="s">
        <v>188</v>
      </c>
      <c r="I9" s="234" t="s">
        <v>295</v>
      </c>
      <c r="J9" s="207" t="s">
        <v>188</v>
      </c>
      <c r="K9" s="210" t="s">
        <v>295</v>
      </c>
      <c r="L9" s="207" t="s">
        <v>188</v>
      </c>
      <c r="M9" s="210" t="s">
        <v>295</v>
      </c>
      <c r="N9" s="207" t="s">
        <v>188</v>
      </c>
      <c r="O9" s="210" t="s">
        <v>295</v>
      </c>
      <c r="P9" s="207" t="s">
        <v>188</v>
      </c>
      <c r="Q9" s="210" t="s">
        <v>295</v>
      </c>
      <c r="R9" s="207" t="s">
        <v>188</v>
      </c>
      <c r="S9" s="210" t="s">
        <v>295</v>
      </c>
      <c r="T9" s="207" t="s">
        <v>188</v>
      </c>
      <c r="U9" s="210" t="s">
        <v>295</v>
      </c>
      <c r="V9" s="207" t="s">
        <v>188</v>
      </c>
      <c r="W9" s="210" t="s">
        <v>295</v>
      </c>
      <c r="X9" s="207" t="s">
        <v>188</v>
      </c>
      <c r="Y9" s="210" t="s">
        <v>295</v>
      </c>
      <c r="Z9" s="207" t="s">
        <v>188</v>
      </c>
      <c r="AA9" s="210" t="s">
        <v>295</v>
      </c>
      <c r="AB9" s="207" t="s">
        <v>188</v>
      </c>
      <c r="AC9" s="210" t="s">
        <v>295</v>
      </c>
      <c r="AD9" s="207" t="s">
        <v>188</v>
      </c>
      <c r="AE9" s="210" t="s">
        <v>295</v>
      </c>
      <c r="AF9" s="207" t="s">
        <v>188</v>
      </c>
      <c r="AG9" s="210" t="s">
        <v>295</v>
      </c>
      <c r="AH9" s="207" t="s">
        <v>188</v>
      </c>
      <c r="AI9" s="257" t="s">
        <v>295</v>
      </c>
      <c r="AJ9" s="220" t="s">
        <v>188</v>
      </c>
      <c r="AK9" s="210" t="s">
        <v>295</v>
      </c>
      <c r="AL9" s="220" t="s">
        <v>188</v>
      </c>
      <c r="AM9" s="210" t="s">
        <v>295</v>
      </c>
      <c r="AN9" s="220" t="s">
        <v>188</v>
      </c>
      <c r="AO9" s="210" t="s">
        <v>295</v>
      </c>
      <c r="AP9" s="220" t="s">
        <v>188</v>
      </c>
      <c r="AQ9" s="210" t="s">
        <v>295</v>
      </c>
      <c r="AR9" s="220" t="s">
        <v>188</v>
      </c>
      <c r="AS9" s="210" t="s">
        <v>295</v>
      </c>
      <c r="AT9" s="220" t="s">
        <v>188</v>
      </c>
      <c r="AU9" s="210" t="s">
        <v>295</v>
      </c>
      <c r="AV9" s="220" t="s">
        <v>188</v>
      </c>
      <c r="AW9" s="210" t="s">
        <v>295</v>
      </c>
      <c r="AX9" s="220" t="s">
        <v>188</v>
      </c>
      <c r="AY9" s="210" t="s">
        <v>295</v>
      </c>
      <c r="AZ9" s="220" t="s">
        <v>188</v>
      </c>
      <c r="BA9" s="210" t="s">
        <v>295</v>
      </c>
      <c r="BB9" s="220" t="s">
        <v>188</v>
      </c>
      <c r="BC9" s="210" t="s">
        <v>295</v>
      </c>
      <c r="BD9" s="220" t="s">
        <v>188</v>
      </c>
      <c r="BE9" s="210" t="s">
        <v>295</v>
      </c>
      <c r="BF9" s="220" t="s">
        <v>188</v>
      </c>
      <c r="BG9" s="210" t="s">
        <v>295</v>
      </c>
      <c r="BH9" s="220" t="s">
        <v>188</v>
      </c>
      <c r="BI9" s="210" t="s">
        <v>295</v>
      </c>
      <c r="BJ9" s="207" t="s">
        <v>188</v>
      </c>
      <c r="BK9" s="210" t="s">
        <v>295</v>
      </c>
      <c r="BL9" s="207" t="s">
        <v>188</v>
      </c>
      <c r="BM9" s="210" t="s">
        <v>295</v>
      </c>
      <c r="BN9" s="207" t="s">
        <v>188</v>
      </c>
      <c r="BO9" s="210" t="s">
        <v>295</v>
      </c>
      <c r="BP9" s="207" t="s">
        <v>188</v>
      </c>
      <c r="BQ9" s="210" t="s">
        <v>295</v>
      </c>
      <c r="BR9" s="207" t="s">
        <v>188</v>
      </c>
      <c r="BS9" s="210" t="s">
        <v>295</v>
      </c>
      <c r="BT9" s="207" t="s">
        <v>188</v>
      </c>
      <c r="BU9" s="234" t="s">
        <v>295</v>
      </c>
      <c r="BV9" s="207" t="s">
        <v>188</v>
      </c>
      <c r="BW9" s="210" t="s">
        <v>295</v>
      </c>
      <c r="BX9" s="207" t="s">
        <v>188</v>
      </c>
      <c r="BY9" s="210" t="s">
        <v>295</v>
      </c>
      <c r="BZ9" s="207" t="s">
        <v>188</v>
      </c>
      <c r="CA9" s="210" t="s">
        <v>295</v>
      </c>
      <c r="CB9" s="207" t="s">
        <v>188</v>
      </c>
      <c r="CC9" s="210" t="s">
        <v>295</v>
      </c>
      <c r="CD9" s="207" t="s">
        <v>188</v>
      </c>
      <c r="CE9" s="210" t="s">
        <v>295</v>
      </c>
      <c r="CF9" s="207" t="s">
        <v>188</v>
      </c>
      <c r="CG9" s="210" t="s">
        <v>295</v>
      </c>
      <c r="CH9" s="207" t="s">
        <v>188</v>
      </c>
      <c r="CI9" s="210" t="s">
        <v>295</v>
      </c>
      <c r="CJ9" s="207" t="s">
        <v>188</v>
      </c>
      <c r="CK9" s="210" t="s">
        <v>295</v>
      </c>
      <c r="CL9" s="207" t="s">
        <v>188</v>
      </c>
      <c r="CM9" s="210" t="s">
        <v>295</v>
      </c>
      <c r="CN9" s="207" t="s">
        <v>188</v>
      </c>
      <c r="CO9" s="210" t="s">
        <v>295</v>
      </c>
      <c r="CP9" s="207" t="s">
        <v>188</v>
      </c>
      <c r="CQ9" s="210" t="s">
        <v>295</v>
      </c>
      <c r="CR9" s="207" t="s">
        <v>188</v>
      </c>
      <c r="CS9" s="210" t="s">
        <v>295</v>
      </c>
      <c r="CT9" s="207" t="s">
        <v>188</v>
      </c>
      <c r="CU9" s="210" t="s">
        <v>295</v>
      </c>
      <c r="CV9" s="207" t="s">
        <v>188</v>
      </c>
      <c r="CW9" s="209" t="s">
        <v>295</v>
      </c>
      <c r="CX9" s="207" t="s">
        <v>188</v>
      </c>
      <c r="CY9" s="209" t="s">
        <v>295</v>
      </c>
      <c r="CZ9" s="207" t="s">
        <v>188</v>
      </c>
      <c r="DA9" s="210" t="s">
        <v>295</v>
      </c>
      <c r="DB9" s="207" t="s">
        <v>188</v>
      </c>
      <c r="DC9" s="209" t="s">
        <v>295</v>
      </c>
      <c r="DD9" s="207" t="s">
        <v>188</v>
      </c>
      <c r="DE9" s="209" t="s">
        <v>295</v>
      </c>
      <c r="DF9" s="207" t="s">
        <v>188</v>
      </c>
      <c r="DG9" s="210" t="s">
        <v>295</v>
      </c>
      <c r="DH9" s="207" t="s">
        <v>188</v>
      </c>
      <c r="DI9" s="210" t="s">
        <v>295</v>
      </c>
      <c r="DJ9" s="207" t="s">
        <v>188</v>
      </c>
      <c r="DK9" s="210" t="s">
        <v>295</v>
      </c>
      <c r="DL9" s="207" t="s">
        <v>188</v>
      </c>
      <c r="DM9" s="234" t="s">
        <v>295</v>
      </c>
      <c r="DN9" s="207" t="s">
        <v>188</v>
      </c>
      <c r="DO9" s="210" t="s">
        <v>295</v>
      </c>
      <c r="DP9" s="207" t="s">
        <v>188</v>
      </c>
      <c r="DQ9" s="250" t="s">
        <v>295</v>
      </c>
      <c r="DR9" s="207" t="s">
        <v>188</v>
      </c>
      <c r="DS9" s="210" t="s">
        <v>295</v>
      </c>
      <c r="DT9" s="207" t="s">
        <v>188</v>
      </c>
      <c r="DU9" s="210" t="s">
        <v>295</v>
      </c>
      <c r="DV9" s="207" t="s">
        <v>188</v>
      </c>
      <c r="DW9" s="210" t="s">
        <v>295</v>
      </c>
      <c r="DX9" s="207" t="s">
        <v>188</v>
      </c>
      <c r="DY9" s="210" t="s">
        <v>295</v>
      </c>
      <c r="DZ9" s="207" t="s">
        <v>188</v>
      </c>
      <c r="EA9" s="210" t="s">
        <v>295</v>
      </c>
      <c r="EB9" s="207" t="s">
        <v>188</v>
      </c>
      <c r="EC9" s="210" t="s">
        <v>295</v>
      </c>
      <c r="ED9" s="207" t="s">
        <v>188</v>
      </c>
      <c r="EE9" s="210" t="s">
        <v>295</v>
      </c>
      <c r="EF9" s="207" t="s">
        <v>188</v>
      </c>
      <c r="EG9" s="210" t="s">
        <v>295</v>
      </c>
      <c r="EH9" s="207" t="s">
        <v>188</v>
      </c>
      <c r="EI9" s="210" t="s">
        <v>295</v>
      </c>
      <c r="EJ9" s="207" t="s">
        <v>188</v>
      </c>
      <c r="EK9" s="210" t="s">
        <v>295</v>
      </c>
      <c r="EL9" s="207" t="s">
        <v>188</v>
      </c>
      <c r="EM9" s="210" t="s">
        <v>295</v>
      </c>
      <c r="EN9" s="207" t="s">
        <v>188</v>
      </c>
      <c r="EO9" s="210" t="s">
        <v>295</v>
      </c>
      <c r="EP9" s="207" t="s">
        <v>188</v>
      </c>
      <c r="EQ9" s="210" t="s">
        <v>295</v>
      </c>
      <c r="ER9" s="207" t="s">
        <v>188</v>
      </c>
      <c r="ES9" s="210" t="s">
        <v>295</v>
      </c>
      <c r="ET9" s="207" t="s">
        <v>188</v>
      </c>
      <c r="EU9" s="210" t="s">
        <v>295</v>
      </c>
      <c r="EV9" s="207" t="s">
        <v>188</v>
      </c>
      <c r="EW9" s="210" t="s">
        <v>295</v>
      </c>
      <c r="EX9" s="207" t="s">
        <v>188</v>
      </c>
      <c r="EY9" s="210" t="s">
        <v>295</v>
      </c>
      <c r="EZ9" s="207" t="s">
        <v>188</v>
      </c>
      <c r="FA9" s="210" t="s">
        <v>295</v>
      </c>
      <c r="FB9" s="207" t="s">
        <v>188</v>
      </c>
      <c r="FC9" s="210" t="s">
        <v>295</v>
      </c>
      <c r="FD9" s="207" t="s">
        <v>188</v>
      </c>
      <c r="FE9" s="210" t="s">
        <v>295</v>
      </c>
      <c r="FF9" s="207" t="s">
        <v>188</v>
      </c>
      <c r="FG9" s="210" t="s">
        <v>295</v>
      </c>
      <c r="FH9" s="207" t="s">
        <v>188</v>
      </c>
      <c r="FI9" s="210" t="s">
        <v>295</v>
      </c>
      <c r="FJ9" s="207" t="s">
        <v>188</v>
      </c>
      <c r="FK9" s="234" t="s">
        <v>295</v>
      </c>
      <c r="FL9" s="207" t="s">
        <v>188</v>
      </c>
      <c r="FM9" s="234" t="s">
        <v>295</v>
      </c>
      <c r="FN9" s="207" t="s">
        <v>188</v>
      </c>
      <c r="FO9" s="234" t="s">
        <v>295</v>
      </c>
      <c r="FP9" s="207" t="s">
        <v>188</v>
      </c>
      <c r="FQ9" s="210" t="s">
        <v>295</v>
      </c>
      <c r="FR9" s="207" t="s">
        <v>188</v>
      </c>
      <c r="FS9" s="210" t="s">
        <v>295</v>
      </c>
      <c r="FT9" s="207" t="s">
        <v>188</v>
      </c>
      <c r="FU9" s="210" t="s">
        <v>295</v>
      </c>
      <c r="FV9" s="207" t="s">
        <v>188</v>
      </c>
      <c r="FW9" s="210" t="s">
        <v>295</v>
      </c>
      <c r="FX9" s="207" t="s">
        <v>188</v>
      </c>
      <c r="FY9" s="210" t="s">
        <v>295</v>
      </c>
      <c r="FZ9" s="207" t="s">
        <v>188</v>
      </c>
      <c r="GA9" s="210" t="s">
        <v>295</v>
      </c>
      <c r="GB9" s="207" t="s">
        <v>188</v>
      </c>
      <c r="GC9" s="210" t="s">
        <v>295</v>
      </c>
      <c r="GD9" s="207" t="s">
        <v>188</v>
      </c>
      <c r="GE9" s="210" t="s">
        <v>295</v>
      </c>
      <c r="GF9" s="207" t="s">
        <v>188</v>
      </c>
      <c r="GG9" s="210" t="s">
        <v>295</v>
      </c>
      <c r="GH9" s="207" t="s">
        <v>188</v>
      </c>
      <c r="GI9" s="210" t="s">
        <v>295</v>
      </c>
      <c r="GJ9" s="207" t="s">
        <v>188</v>
      </c>
      <c r="GK9" s="210" t="s">
        <v>295</v>
      </c>
      <c r="GL9" s="207" t="s">
        <v>188</v>
      </c>
      <c r="GM9" s="210" t="s">
        <v>295</v>
      </c>
      <c r="GN9" s="207" t="s">
        <v>188</v>
      </c>
      <c r="GO9" s="210" t="s">
        <v>295</v>
      </c>
      <c r="GP9" s="207" t="s">
        <v>188</v>
      </c>
      <c r="GQ9" s="210" t="s">
        <v>295</v>
      </c>
      <c r="GR9" s="207" t="s">
        <v>188</v>
      </c>
      <c r="GS9" s="210" t="s">
        <v>295</v>
      </c>
      <c r="GT9" s="207" t="s">
        <v>188</v>
      </c>
      <c r="GU9" s="210" t="s">
        <v>295</v>
      </c>
      <c r="GV9" s="207" t="s">
        <v>188</v>
      </c>
      <c r="GW9" s="210" t="s">
        <v>295</v>
      </c>
      <c r="GX9" s="207" t="s">
        <v>188</v>
      </c>
      <c r="GY9" s="210" t="s">
        <v>295</v>
      </c>
      <c r="GZ9" s="207" t="s">
        <v>188</v>
      </c>
      <c r="HA9" s="210" t="s">
        <v>295</v>
      </c>
      <c r="HB9" s="207" t="s">
        <v>188</v>
      </c>
      <c r="HC9" s="210" t="s">
        <v>295</v>
      </c>
      <c r="HD9" s="207" t="s">
        <v>188</v>
      </c>
      <c r="HE9" s="210" t="s">
        <v>295</v>
      </c>
      <c r="HF9" s="207" t="s">
        <v>188</v>
      </c>
      <c r="HG9" s="210" t="s">
        <v>295</v>
      </c>
      <c r="HH9" s="207" t="s">
        <v>188</v>
      </c>
      <c r="HI9" s="210" t="s">
        <v>295</v>
      </c>
      <c r="HJ9" s="207" t="s">
        <v>188</v>
      </c>
      <c r="HK9" s="210" t="s">
        <v>295</v>
      </c>
      <c r="HL9" s="207" t="s">
        <v>188</v>
      </c>
      <c r="HM9" s="210" t="s">
        <v>295</v>
      </c>
      <c r="HN9" s="207" t="s">
        <v>188</v>
      </c>
      <c r="HO9" s="210" t="s">
        <v>295</v>
      </c>
      <c r="HP9" s="207" t="s">
        <v>188</v>
      </c>
      <c r="HQ9" s="210" t="s">
        <v>295</v>
      </c>
      <c r="HR9" s="207" t="s">
        <v>188</v>
      </c>
      <c r="HS9" s="210" t="s">
        <v>295</v>
      </c>
      <c r="HT9" s="207" t="s">
        <v>188</v>
      </c>
      <c r="HU9" s="210" t="s">
        <v>295</v>
      </c>
      <c r="HV9" s="207" t="s">
        <v>188</v>
      </c>
      <c r="HW9" s="210" t="s">
        <v>295</v>
      </c>
      <c r="HX9" s="207" t="s">
        <v>188</v>
      </c>
      <c r="HY9" s="210" t="s">
        <v>295</v>
      </c>
    </row>
    <row r="10" spans="1:233" s="5" customFormat="1" ht="9" customHeight="1">
      <c r="A10" s="244"/>
      <c r="B10" s="208"/>
      <c r="C10" s="212"/>
      <c r="D10" s="208"/>
      <c r="E10" s="212"/>
      <c r="F10" s="208"/>
      <c r="G10" s="212"/>
      <c r="H10" s="208"/>
      <c r="I10" s="212"/>
      <c r="J10" s="219"/>
      <c r="K10" s="212"/>
      <c r="L10" s="219"/>
      <c r="M10" s="212"/>
      <c r="N10" s="219"/>
      <c r="O10" s="212"/>
      <c r="P10" s="219"/>
      <c r="Q10" s="212"/>
      <c r="R10" s="219"/>
      <c r="S10" s="212"/>
      <c r="T10" s="219"/>
      <c r="U10" s="212"/>
      <c r="V10" s="219"/>
      <c r="W10" s="212"/>
      <c r="X10" s="219"/>
      <c r="Y10" s="212"/>
      <c r="Z10" s="219"/>
      <c r="AA10" s="212"/>
      <c r="AB10" s="208"/>
      <c r="AC10" s="212"/>
      <c r="AD10" s="208"/>
      <c r="AE10" s="212"/>
      <c r="AF10" s="208"/>
      <c r="AG10" s="212"/>
      <c r="AH10" s="219"/>
      <c r="AI10" s="258"/>
      <c r="AJ10" s="208"/>
      <c r="AK10" s="212"/>
      <c r="AL10" s="208"/>
      <c r="AM10" s="212"/>
      <c r="AN10" s="208"/>
      <c r="AO10" s="212"/>
      <c r="AP10" s="208"/>
      <c r="AQ10" s="212"/>
      <c r="AR10" s="208"/>
      <c r="AS10" s="212"/>
      <c r="AT10" s="208"/>
      <c r="AU10" s="212"/>
      <c r="AV10" s="208"/>
      <c r="AW10" s="212"/>
      <c r="AX10" s="208"/>
      <c r="AY10" s="212"/>
      <c r="AZ10" s="219"/>
      <c r="BA10" s="212"/>
      <c r="BB10" s="219"/>
      <c r="BC10" s="212"/>
      <c r="BD10" s="208"/>
      <c r="BE10" s="212"/>
      <c r="BF10" s="208"/>
      <c r="BG10" s="212"/>
      <c r="BH10" s="208"/>
      <c r="BI10" s="212"/>
      <c r="BJ10" s="208"/>
      <c r="BK10" s="212"/>
      <c r="BL10" s="208"/>
      <c r="BM10" s="212"/>
      <c r="BN10" s="208"/>
      <c r="BO10" s="212"/>
      <c r="BP10" s="208"/>
      <c r="BQ10" s="212"/>
      <c r="BR10" s="208"/>
      <c r="BS10" s="212"/>
      <c r="BT10" s="208"/>
      <c r="BU10" s="212"/>
      <c r="BV10" s="208"/>
      <c r="BW10" s="212"/>
      <c r="BX10" s="208"/>
      <c r="BY10" s="212"/>
      <c r="BZ10" s="208"/>
      <c r="CA10" s="212"/>
      <c r="CB10" s="208"/>
      <c r="CC10" s="212"/>
      <c r="CD10" s="208"/>
      <c r="CE10" s="212"/>
      <c r="CF10" s="219"/>
      <c r="CG10" s="212"/>
      <c r="CH10" s="208"/>
      <c r="CI10" s="212"/>
      <c r="CJ10" s="208"/>
      <c r="CK10" s="212"/>
      <c r="CL10" s="208"/>
      <c r="CM10" s="212"/>
      <c r="CN10" s="208"/>
      <c r="CO10" s="212"/>
      <c r="CP10" s="208"/>
      <c r="CQ10" s="212"/>
      <c r="CR10" s="208"/>
      <c r="CS10" s="212"/>
      <c r="CT10" s="208"/>
      <c r="CU10" s="212"/>
      <c r="CV10" s="208"/>
      <c r="CW10" s="210"/>
      <c r="CX10" s="208"/>
      <c r="CY10" s="210"/>
      <c r="CZ10" s="208"/>
      <c r="DA10" s="212"/>
      <c r="DB10" s="208"/>
      <c r="DC10" s="210"/>
      <c r="DD10" s="208"/>
      <c r="DE10" s="210"/>
      <c r="DF10" s="219"/>
      <c r="DG10" s="212"/>
      <c r="DH10" s="208"/>
      <c r="DI10" s="212"/>
      <c r="DJ10" s="219"/>
      <c r="DK10" s="212"/>
      <c r="DL10" s="208"/>
      <c r="DM10" s="212"/>
      <c r="DN10" s="208"/>
      <c r="DO10" s="212"/>
      <c r="DP10" s="219"/>
      <c r="DQ10" s="251"/>
      <c r="DR10" s="208"/>
      <c r="DS10" s="212"/>
      <c r="DT10" s="208"/>
      <c r="DU10" s="212"/>
      <c r="DV10" s="208"/>
      <c r="DW10" s="212"/>
      <c r="DX10" s="208"/>
      <c r="DY10" s="212"/>
      <c r="DZ10" s="208"/>
      <c r="EA10" s="212"/>
      <c r="EB10" s="208"/>
      <c r="EC10" s="212"/>
      <c r="ED10" s="208"/>
      <c r="EE10" s="212"/>
      <c r="EF10" s="208"/>
      <c r="EG10" s="212"/>
      <c r="EH10" s="208"/>
      <c r="EI10" s="212"/>
      <c r="EJ10" s="208"/>
      <c r="EK10" s="212"/>
      <c r="EL10" s="208"/>
      <c r="EM10" s="212"/>
      <c r="EN10" s="208"/>
      <c r="EO10" s="212"/>
      <c r="EP10" s="208"/>
      <c r="EQ10" s="212"/>
      <c r="ER10" s="208"/>
      <c r="ES10" s="212"/>
      <c r="ET10" s="208"/>
      <c r="EU10" s="212"/>
      <c r="EV10" s="208"/>
      <c r="EW10" s="212"/>
      <c r="EX10" s="208"/>
      <c r="EY10" s="212"/>
      <c r="EZ10" s="208"/>
      <c r="FA10" s="212"/>
      <c r="FB10" s="219"/>
      <c r="FC10" s="212"/>
      <c r="FD10" s="208"/>
      <c r="FE10" s="212"/>
      <c r="FF10" s="208"/>
      <c r="FG10" s="212"/>
      <c r="FH10" s="219"/>
      <c r="FI10" s="212"/>
      <c r="FJ10" s="208"/>
      <c r="FK10" s="212"/>
      <c r="FL10" s="208"/>
      <c r="FM10" s="212"/>
      <c r="FN10" s="208"/>
      <c r="FO10" s="212"/>
      <c r="FP10" s="208"/>
      <c r="FQ10" s="212"/>
      <c r="FR10" s="208"/>
      <c r="FS10" s="212"/>
      <c r="FT10" s="208"/>
      <c r="FU10" s="212"/>
      <c r="FV10" s="208"/>
      <c r="FW10" s="212"/>
      <c r="FX10" s="208"/>
      <c r="FY10" s="212"/>
      <c r="FZ10" s="208"/>
      <c r="GA10" s="212"/>
      <c r="GB10" s="208"/>
      <c r="GC10" s="212"/>
      <c r="GD10" s="208"/>
      <c r="GE10" s="212"/>
      <c r="GF10" s="208"/>
      <c r="GG10" s="212"/>
      <c r="GH10" s="208"/>
      <c r="GI10" s="212"/>
      <c r="GJ10" s="208"/>
      <c r="GK10" s="212"/>
      <c r="GL10" s="208"/>
      <c r="GM10" s="212"/>
      <c r="GN10" s="208"/>
      <c r="GO10" s="212"/>
      <c r="GP10" s="208"/>
      <c r="GQ10" s="212"/>
      <c r="GR10" s="208"/>
      <c r="GS10" s="212"/>
      <c r="GT10" s="208"/>
      <c r="GU10" s="212"/>
      <c r="GV10" s="208"/>
      <c r="GW10" s="212"/>
      <c r="GX10" s="208"/>
      <c r="GY10" s="212"/>
      <c r="GZ10" s="208"/>
      <c r="HA10" s="212"/>
      <c r="HB10" s="208"/>
      <c r="HC10" s="212"/>
      <c r="HD10" s="219"/>
      <c r="HE10" s="212"/>
      <c r="HF10" s="208"/>
      <c r="HG10" s="212"/>
      <c r="HH10" s="208"/>
      <c r="HI10" s="212"/>
      <c r="HJ10" s="208"/>
      <c r="HK10" s="212"/>
      <c r="HL10" s="208"/>
      <c r="HM10" s="212"/>
      <c r="HN10" s="208"/>
      <c r="HO10" s="212"/>
      <c r="HP10" s="219"/>
      <c r="HQ10" s="212"/>
      <c r="HR10" s="208"/>
      <c r="HS10" s="212"/>
      <c r="HT10" s="208"/>
      <c r="HU10" s="212"/>
      <c r="HV10" s="208"/>
      <c r="HW10" s="212"/>
      <c r="HX10" s="219"/>
      <c r="HY10" s="212"/>
    </row>
    <row r="11" spans="1:233" ht="12.75">
      <c r="A11" s="10">
        <v>1</v>
      </c>
      <c r="B11" s="17">
        <f>A11+1</f>
        <v>2</v>
      </c>
      <c r="C11" s="17">
        <f aca="true" t="shared" si="0" ref="C11:BN11">B11+1</f>
        <v>3</v>
      </c>
      <c r="D11" s="17">
        <f t="shared" si="0"/>
        <v>4</v>
      </c>
      <c r="E11" s="17">
        <f t="shared" si="0"/>
        <v>5</v>
      </c>
      <c r="F11" s="17">
        <f t="shared" si="0"/>
        <v>6</v>
      </c>
      <c r="G11" s="17">
        <f t="shared" si="0"/>
        <v>7</v>
      </c>
      <c r="H11" s="17">
        <f t="shared" si="0"/>
        <v>8</v>
      </c>
      <c r="I11" s="17">
        <f t="shared" si="0"/>
        <v>9</v>
      </c>
      <c r="J11" s="22">
        <f t="shared" si="0"/>
        <v>10</v>
      </c>
      <c r="K11" s="22">
        <f t="shared" si="0"/>
        <v>11</v>
      </c>
      <c r="L11" s="22">
        <f t="shared" si="0"/>
        <v>12</v>
      </c>
      <c r="M11" s="22">
        <f t="shared" si="0"/>
        <v>13</v>
      </c>
      <c r="N11" s="22">
        <f t="shared" si="0"/>
        <v>14</v>
      </c>
      <c r="O11" s="22">
        <f t="shared" si="0"/>
        <v>15</v>
      </c>
      <c r="P11" s="22">
        <f t="shared" si="0"/>
        <v>16</v>
      </c>
      <c r="Q11" s="22">
        <f t="shared" si="0"/>
        <v>17</v>
      </c>
      <c r="R11" s="22">
        <f t="shared" si="0"/>
        <v>18</v>
      </c>
      <c r="S11" s="22">
        <f t="shared" si="0"/>
        <v>19</v>
      </c>
      <c r="T11" s="22">
        <f t="shared" si="0"/>
        <v>20</v>
      </c>
      <c r="U11" s="22">
        <f t="shared" si="0"/>
        <v>21</v>
      </c>
      <c r="V11" s="22">
        <f t="shared" si="0"/>
        <v>22</v>
      </c>
      <c r="W11" s="22">
        <f t="shared" si="0"/>
        <v>23</v>
      </c>
      <c r="X11" s="22">
        <f t="shared" si="0"/>
        <v>24</v>
      </c>
      <c r="Y11" s="22">
        <f t="shared" si="0"/>
        <v>25</v>
      </c>
      <c r="Z11" s="22">
        <f t="shared" si="0"/>
        <v>26</v>
      </c>
      <c r="AA11" s="22">
        <f t="shared" si="0"/>
        <v>27</v>
      </c>
      <c r="AB11" s="17">
        <f t="shared" si="0"/>
        <v>28</v>
      </c>
      <c r="AC11" s="17">
        <f t="shared" si="0"/>
        <v>29</v>
      </c>
      <c r="AD11" s="17">
        <f t="shared" si="0"/>
        <v>30</v>
      </c>
      <c r="AE11" s="17">
        <f t="shared" si="0"/>
        <v>31</v>
      </c>
      <c r="AF11" s="17">
        <f t="shared" si="0"/>
        <v>32</v>
      </c>
      <c r="AG11" s="17">
        <f t="shared" si="0"/>
        <v>33</v>
      </c>
      <c r="AH11" s="22">
        <f t="shared" si="0"/>
        <v>34</v>
      </c>
      <c r="AI11" s="22">
        <f t="shared" si="0"/>
        <v>35</v>
      </c>
      <c r="AJ11" s="17">
        <f t="shared" si="0"/>
        <v>36</v>
      </c>
      <c r="AK11" s="17">
        <f t="shared" si="0"/>
        <v>37</v>
      </c>
      <c r="AL11" s="17">
        <f t="shared" si="0"/>
        <v>38</v>
      </c>
      <c r="AM11" s="17">
        <f t="shared" si="0"/>
        <v>39</v>
      </c>
      <c r="AN11" s="17">
        <f t="shared" si="0"/>
        <v>40</v>
      </c>
      <c r="AO11" s="17">
        <f t="shared" si="0"/>
        <v>41</v>
      </c>
      <c r="AP11" s="17">
        <f t="shared" si="0"/>
        <v>42</v>
      </c>
      <c r="AQ11" s="17">
        <f t="shared" si="0"/>
        <v>43</v>
      </c>
      <c r="AR11" s="17">
        <f t="shared" si="0"/>
        <v>44</v>
      </c>
      <c r="AS11" s="17">
        <f t="shared" si="0"/>
        <v>45</v>
      </c>
      <c r="AT11" s="17">
        <f t="shared" si="0"/>
        <v>46</v>
      </c>
      <c r="AU11" s="17">
        <f t="shared" si="0"/>
        <v>47</v>
      </c>
      <c r="AV11" s="17">
        <f t="shared" si="0"/>
        <v>48</v>
      </c>
      <c r="AW11" s="17">
        <f t="shared" si="0"/>
        <v>49</v>
      </c>
      <c r="AX11" s="17">
        <f t="shared" si="0"/>
        <v>50</v>
      </c>
      <c r="AY11" s="17">
        <f t="shared" si="0"/>
        <v>51</v>
      </c>
      <c r="AZ11" s="22">
        <f t="shared" si="0"/>
        <v>52</v>
      </c>
      <c r="BA11" s="22">
        <f t="shared" si="0"/>
        <v>53</v>
      </c>
      <c r="BB11" s="22">
        <f t="shared" si="0"/>
        <v>54</v>
      </c>
      <c r="BC11" s="22">
        <f t="shared" si="0"/>
        <v>55</v>
      </c>
      <c r="BD11" s="17">
        <f t="shared" si="0"/>
        <v>56</v>
      </c>
      <c r="BE11" s="17">
        <f t="shared" si="0"/>
        <v>57</v>
      </c>
      <c r="BF11" s="17">
        <f t="shared" si="0"/>
        <v>58</v>
      </c>
      <c r="BG11" s="17">
        <f t="shared" si="0"/>
        <v>59</v>
      </c>
      <c r="BH11" s="17">
        <f t="shared" si="0"/>
        <v>60</v>
      </c>
      <c r="BI11" s="17">
        <f t="shared" si="0"/>
        <v>61</v>
      </c>
      <c r="BJ11" s="17">
        <f t="shared" si="0"/>
        <v>62</v>
      </c>
      <c r="BK11" s="17">
        <f t="shared" si="0"/>
        <v>63</v>
      </c>
      <c r="BL11" s="17">
        <f t="shared" si="0"/>
        <v>64</v>
      </c>
      <c r="BM11" s="17">
        <f t="shared" si="0"/>
        <v>65</v>
      </c>
      <c r="BN11" s="17">
        <f t="shared" si="0"/>
        <v>66</v>
      </c>
      <c r="BO11" s="17">
        <f aca="true" t="shared" si="1" ref="BO11:DZ11">BN11+1</f>
        <v>67</v>
      </c>
      <c r="BP11" s="17">
        <f t="shared" si="1"/>
        <v>68</v>
      </c>
      <c r="BQ11" s="17">
        <f t="shared" si="1"/>
        <v>69</v>
      </c>
      <c r="BR11" s="17">
        <f t="shared" si="1"/>
        <v>70</v>
      </c>
      <c r="BS11" s="17">
        <f t="shared" si="1"/>
        <v>71</v>
      </c>
      <c r="BT11" s="17">
        <f t="shared" si="1"/>
        <v>72</v>
      </c>
      <c r="BU11" s="17">
        <f t="shared" si="1"/>
        <v>73</v>
      </c>
      <c r="BV11" s="17">
        <f t="shared" si="1"/>
        <v>74</v>
      </c>
      <c r="BW11" s="17">
        <f t="shared" si="1"/>
        <v>75</v>
      </c>
      <c r="BX11" s="17">
        <f t="shared" si="1"/>
        <v>76</v>
      </c>
      <c r="BY11" s="17">
        <f t="shared" si="1"/>
        <v>77</v>
      </c>
      <c r="BZ11" s="17">
        <f t="shared" si="1"/>
        <v>78</v>
      </c>
      <c r="CA11" s="17">
        <f t="shared" si="1"/>
        <v>79</v>
      </c>
      <c r="CB11" s="17">
        <f t="shared" si="1"/>
        <v>80</v>
      </c>
      <c r="CC11" s="17">
        <f t="shared" si="1"/>
        <v>81</v>
      </c>
      <c r="CD11" s="17">
        <f t="shared" si="1"/>
        <v>82</v>
      </c>
      <c r="CE11" s="17">
        <f t="shared" si="1"/>
        <v>83</v>
      </c>
      <c r="CF11" s="22">
        <f t="shared" si="1"/>
        <v>84</v>
      </c>
      <c r="CG11" s="22">
        <f t="shared" si="1"/>
        <v>85</v>
      </c>
      <c r="CH11" s="17">
        <f t="shared" si="1"/>
        <v>86</v>
      </c>
      <c r="CI11" s="17">
        <f t="shared" si="1"/>
        <v>87</v>
      </c>
      <c r="CJ11" s="17">
        <f t="shared" si="1"/>
        <v>88</v>
      </c>
      <c r="CK11" s="17">
        <f t="shared" si="1"/>
        <v>89</v>
      </c>
      <c r="CL11" s="17">
        <f t="shared" si="1"/>
        <v>90</v>
      </c>
      <c r="CM11" s="17">
        <f t="shared" si="1"/>
        <v>91</v>
      </c>
      <c r="CN11" s="17">
        <f t="shared" si="1"/>
        <v>92</v>
      </c>
      <c r="CO11" s="17">
        <f t="shared" si="1"/>
        <v>93</v>
      </c>
      <c r="CP11" s="17">
        <f t="shared" si="1"/>
        <v>94</v>
      </c>
      <c r="CQ11" s="17">
        <f t="shared" si="1"/>
        <v>95</v>
      </c>
      <c r="CR11" s="17">
        <f t="shared" si="1"/>
        <v>96</v>
      </c>
      <c r="CS11" s="17">
        <f t="shared" si="1"/>
        <v>97</v>
      </c>
      <c r="CT11" s="17">
        <f t="shared" si="1"/>
        <v>98</v>
      </c>
      <c r="CU11" s="17">
        <f t="shared" si="1"/>
        <v>99</v>
      </c>
      <c r="CV11" s="17">
        <f t="shared" si="1"/>
        <v>100</v>
      </c>
      <c r="CW11" s="17">
        <f t="shared" si="1"/>
        <v>101</v>
      </c>
      <c r="CX11" s="17">
        <f t="shared" si="1"/>
        <v>102</v>
      </c>
      <c r="CY11" s="17">
        <f t="shared" si="1"/>
        <v>103</v>
      </c>
      <c r="CZ11" s="17">
        <f t="shared" si="1"/>
        <v>104</v>
      </c>
      <c r="DA11" s="17">
        <f t="shared" si="1"/>
        <v>105</v>
      </c>
      <c r="DB11" s="17">
        <f t="shared" si="1"/>
        <v>106</v>
      </c>
      <c r="DC11" s="17">
        <f t="shared" si="1"/>
        <v>107</v>
      </c>
      <c r="DD11" s="17">
        <f t="shared" si="1"/>
        <v>108</v>
      </c>
      <c r="DE11" s="17">
        <f t="shared" si="1"/>
        <v>109</v>
      </c>
      <c r="DF11" s="22">
        <f t="shared" si="1"/>
        <v>110</v>
      </c>
      <c r="DG11" s="22">
        <f t="shared" si="1"/>
        <v>111</v>
      </c>
      <c r="DH11" s="17">
        <f t="shared" si="1"/>
        <v>112</v>
      </c>
      <c r="DI11" s="17">
        <f t="shared" si="1"/>
        <v>113</v>
      </c>
      <c r="DJ11" s="22">
        <f t="shared" si="1"/>
        <v>114</v>
      </c>
      <c r="DK11" s="22">
        <f t="shared" si="1"/>
        <v>115</v>
      </c>
      <c r="DL11" s="17">
        <f t="shared" si="1"/>
        <v>116</v>
      </c>
      <c r="DM11" s="17">
        <f t="shared" si="1"/>
        <v>117</v>
      </c>
      <c r="DN11" s="17">
        <f t="shared" si="1"/>
        <v>118</v>
      </c>
      <c r="DO11" s="17">
        <f t="shared" si="1"/>
        <v>119</v>
      </c>
      <c r="DP11" s="22">
        <f t="shared" si="1"/>
        <v>120</v>
      </c>
      <c r="DQ11" s="22">
        <f t="shared" si="1"/>
        <v>121</v>
      </c>
      <c r="DR11" s="17">
        <f t="shared" si="1"/>
        <v>122</v>
      </c>
      <c r="DS11" s="17">
        <f t="shared" si="1"/>
        <v>123</v>
      </c>
      <c r="DT11" s="17">
        <f t="shared" si="1"/>
        <v>124</v>
      </c>
      <c r="DU11" s="17">
        <f t="shared" si="1"/>
        <v>125</v>
      </c>
      <c r="DV11" s="17">
        <f t="shared" si="1"/>
        <v>126</v>
      </c>
      <c r="DW11" s="17">
        <f t="shared" si="1"/>
        <v>127</v>
      </c>
      <c r="DX11" s="17">
        <f t="shared" si="1"/>
        <v>128</v>
      </c>
      <c r="DY11" s="17">
        <f t="shared" si="1"/>
        <v>129</v>
      </c>
      <c r="DZ11" s="17">
        <f t="shared" si="1"/>
        <v>130</v>
      </c>
      <c r="EA11" s="17">
        <f aca="true" t="shared" si="2" ref="EA11:GL11">DZ11+1</f>
        <v>131</v>
      </c>
      <c r="EB11" s="17">
        <f t="shared" si="2"/>
        <v>132</v>
      </c>
      <c r="EC11" s="17">
        <f t="shared" si="2"/>
        <v>133</v>
      </c>
      <c r="ED11" s="17">
        <f t="shared" si="2"/>
        <v>134</v>
      </c>
      <c r="EE11" s="17">
        <f t="shared" si="2"/>
        <v>135</v>
      </c>
      <c r="EF11" s="17">
        <f t="shared" si="2"/>
        <v>136</v>
      </c>
      <c r="EG11" s="17">
        <f t="shared" si="2"/>
        <v>137</v>
      </c>
      <c r="EH11" s="17">
        <f t="shared" si="2"/>
        <v>138</v>
      </c>
      <c r="EI11" s="17">
        <f t="shared" si="2"/>
        <v>139</v>
      </c>
      <c r="EJ11" s="17">
        <f t="shared" si="2"/>
        <v>140</v>
      </c>
      <c r="EK11" s="17">
        <f>EJ11+1</f>
        <v>141</v>
      </c>
      <c r="EL11" s="17">
        <f t="shared" si="2"/>
        <v>142</v>
      </c>
      <c r="EM11" s="17">
        <f t="shared" si="2"/>
        <v>143</v>
      </c>
      <c r="EN11" s="17">
        <f t="shared" si="2"/>
        <v>144</v>
      </c>
      <c r="EO11" s="17">
        <f t="shared" si="2"/>
        <v>145</v>
      </c>
      <c r="EP11" s="17">
        <f t="shared" si="2"/>
        <v>146</v>
      </c>
      <c r="EQ11" s="17">
        <f t="shared" si="2"/>
        <v>147</v>
      </c>
      <c r="ER11" s="17">
        <f t="shared" si="2"/>
        <v>148</v>
      </c>
      <c r="ES11" s="17">
        <f t="shared" si="2"/>
        <v>149</v>
      </c>
      <c r="ET11" s="17">
        <f t="shared" si="2"/>
        <v>150</v>
      </c>
      <c r="EU11" s="17">
        <f t="shared" si="2"/>
        <v>151</v>
      </c>
      <c r="EV11" s="17">
        <f t="shared" si="2"/>
        <v>152</v>
      </c>
      <c r="EW11" s="17">
        <f t="shared" si="2"/>
        <v>153</v>
      </c>
      <c r="EX11" s="17">
        <f t="shared" si="2"/>
        <v>154</v>
      </c>
      <c r="EY11" s="17">
        <f t="shared" si="2"/>
        <v>155</v>
      </c>
      <c r="EZ11" s="17">
        <f t="shared" si="2"/>
        <v>156</v>
      </c>
      <c r="FA11" s="17">
        <f t="shared" si="2"/>
        <v>157</v>
      </c>
      <c r="FB11" s="22">
        <f t="shared" si="2"/>
        <v>158</v>
      </c>
      <c r="FC11" s="22">
        <f t="shared" si="2"/>
        <v>159</v>
      </c>
      <c r="FD11" s="17">
        <f t="shared" si="2"/>
        <v>160</v>
      </c>
      <c r="FE11" s="17">
        <f t="shared" si="2"/>
        <v>161</v>
      </c>
      <c r="FF11" s="17">
        <f t="shared" si="2"/>
        <v>162</v>
      </c>
      <c r="FG11" s="17">
        <f t="shared" si="2"/>
        <v>163</v>
      </c>
      <c r="FH11" s="22">
        <f t="shared" si="2"/>
        <v>164</v>
      </c>
      <c r="FI11" s="22">
        <f t="shared" si="2"/>
        <v>165</v>
      </c>
      <c r="FJ11" s="17">
        <f t="shared" si="2"/>
        <v>166</v>
      </c>
      <c r="FK11" s="17">
        <f t="shared" si="2"/>
        <v>167</v>
      </c>
      <c r="FL11" s="17">
        <f t="shared" si="2"/>
        <v>168</v>
      </c>
      <c r="FM11" s="17">
        <f t="shared" si="2"/>
        <v>169</v>
      </c>
      <c r="FN11" s="17">
        <f t="shared" si="2"/>
        <v>170</v>
      </c>
      <c r="FO11" s="17">
        <f t="shared" si="2"/>
        <v>171</v>
      </c>
      <c r="FP11" s="17">
        <f t="shared" si="2"/>
        <v>172</v>
      </c>
      <c r="FQ11" s="17">
        <f t="shared" si="2"/>
        <v>173</v>
      </c>
      <c r="FR11" s="17">
        <f t="shared" si="2"/>
        <v>174</v>
      </c>
      <c r="FS11" s="17">
        <f t="shared" si="2"/>
        <v>175</v>
      </c>
      <c r="FT11" s="17">
        <f t="shared" si="2"/>
        <v>176</v>
      </c>
      <c r="FU11" s="17">
        <f t="shared" si="2"/>
        <v>177</v>
      </c>
      <c r="FV11" s="17">
        <f t="shared" si="2"/>
        <v>178</v>
      </c>
      <c r="FW11" s="17">
        <f t="shared" si="2"/>
        <v>179</v>
      </c>
      <c r="FX11" s="17">
        <f t="shared" si="2"/>
        <v>180</v>
      </c>
      <c r="FY11" s="17">
        <f t="shared" si="2"/>
        <v>181</v>
      </c>
      <c r="FZ11" s="17">
        <f t="shared" si="2"/>
        <v>182</v>
      </c>
      <c r="GA11" s="17">
        <f t="shared" si="2"/>
        <v>183</v>
      </c>
      <c r="GB11" s="17">
        <f t="shared" si="2"/>
        <v>184</v>
      </c>
      <c r="GC11" s="17">
        <f t="shared" si="2"/>
        <v>185</v>
      </c>
      <c r="GD11" s="17">
        <f t="shared" si="2"/>
        <v>186</v>
      </c>
      <c r="GE11" s="17">
        <f t="shared" si="2"/>
        <v>187</v>
      </c>
      <c r="GF11" s="17">
        <f t="shared" si="2"/>
        <v>188</v>
      </c>
      <c r="GG11" s="17">
        <f t="shared" si="2"/>
        <v>189</v>
      </c>
      <c r="GH11" s="17">
        <f t="shared" si="2"/>
        <v>190</v>
      </c>
      <c r="GI11" s="17">
        <f t="shared" si="2"/>
        <v>191</v>
      </c>
      <c r="GJ11" s="17">
        <f t="shared" si="2"/>
        <v>192</v>
      </c>
      <c r="GK11" s="17">
        <f t="shared" si="2"/>
        <v>193</v>
      </c>
      <c r="GL11" s="17">
        <f t="shared" si="2"/>
        <v>194</v>
      </c>
      <c r="GM11" s="17">
        <f aca="true" t="shared" si="3" ref="GM11:HD11">GL11+1</f>
        <v>195</v>
      </c>
      <c r="GN11" s="17">
        <f t="shared" si="3"/>
        <v>196</v>
      </c>
      <c r="GO11" s="17">
        <f t="shared" si="3"/>
        <v>197</v>
      </c>
      <c r="GP11" s="17">
        <f t="shared" si="3"/>
        <v>198</v>
      </c>
      <c r="GQ11" s="17">
        <f t="shared" si="3"/>
        <v>199</v>
      </c>
      <c r="GR11" s="17">
        <f t="shared" si="3"/>
        <v>200</v>
      </c>
      <c r="GS11" s="17">
        <f t="shared" si="3"/>
        <v>201</v>
      </c>
      <c r="GT11" s="17">
        <f t="shared" si="3"/>
        <v>202</v>
      </c>
      <c r="GU11" s="17">
        <f t="shared" si="3"/>
        <v>203</v>
      </c>
      <c r="GV11" s="17">
        <f t="shared" si="3"/>
        <v>204</v>
      </c>
      <c r="GW11" s="17">
        <f t="shared" si="3"/>
        <v>205</v>
      </c>
      <c r="GX11" s="17">
        <f t="shared" si="3"/>
        <v>206</v>
      </c>
      <c r="GY11" s="17">
        <f t="shared" si="3"/>
        <v>207</v>
      </c>
      <c r="GZ11" s="22">
        <f t="shared" si="3"/>
        <v>208</v>
      </c>
      <c r="HA11" s="17">
        <f t="shared" si="3"/>
        <v>209</v>
      </c>
      <c r="HB11" s="17">
        <f t="shared" si="3"/>
        <v>210</v>
      </c>
      <c r="HC11" s="17">
        <f t="shared" si="3"/>
        <v>211</v>
      </c>
      <c r="HD11" s="22">
        <f t="shared" si="3"/>
        <v>212</v>
      </c>
      <c r="HE11" s="22">
        <f>HD11+1</f>
        <v>213</v>
      </c>
      <c r="HF11" s="17">
        <f aca="true" t="shared" si="4" ref="HF11:HY11">HE11+1</f>
        <v>214</v>
      </c>
      <c r="HG11" s="17">
        <f t="shared" si="4"/>
        <v>215</v>
      </c>
      <c r="HH11" s="17">
        <f t="shared" si="4"/>
        <v>216</v>
      </c>
      <c r="HI11" s="17">
        <f t="shared" si="4"/>
        <v>217</v>
      </c>
      <c r="HJ11" s="17">
        <f t="shared" si="4"/>
        <v>218</v>
      </c>
      <c r="HK11" s="17">
        <f t="shared" si="4"/>
        <v>219</v>
      </c>
      <c r="HL11" s="17">
        <f>HK11+1</f>
        <v>220</v>
      </c>
      <c r="HM11" s="17">
        <f t="shared" si="4"/>
        <v>221</v>
      </c>
      <c r="HN11" s="17">
        <f t="shared" si="4"/>
        <v>222</v>
      </c>
      <c r="HO11" s="17">
        <f t="shared" si="4"/>
        <v>223</v>
      </c>
      <c r="HP11" s="22">
        <f t="shared" si="4"/>
        <v>224</v>
      </c>
      <c r="HQ11" s="22">
        <f t="shared" si="4"/>
        <v>225</v>
      </c>
      <c r="HR11" s="17">
        <f t="shared" si="4"/>
        <v>226</v>
      </c>
      <c r="HS11" s="17">
        <f t="shared" si="4"/>
        <v>227</v>
      </c>
      <c r="HT11" s="17">
        <f t="shared" si="4"/>
        <v>228</v>
      </c>
      <c r="HU11" s="17">
        <f>HT11+1</f>
        <v>229</v>
      </c>
      <c r="HV11" s="17">
        <f t="shared" si="4"/>
        <v>230</v>
      </c>
      <c r="HW11" s="17">
        <f t="shared" si="4"/>
        <v>231</v>
      </c>
      <c r="HX11" s="22">
        <f t="shared" si="4"/>
        <v>232</v>
      </c>
      <c r="HY11" s="22">
        <f t="shared" si="4"/>
        <v>233</v>
      </c>
    </row>
    <row r="12" spans="1:233" ht="12.75" customHeight="1">
      <c r="A12" s="11" t="s">
        <v>155</v>
      </c>
      <c r="B12" s="133"/>
      <c r="C12" s="27"/>
      <c r="D12" s="27"/>
      <c r="E12" s="27"/>
      <c r="F12" s="27"/>
      <c r="G12" s="27"/>
      <c r="H12" s="27"/>
      <c r="I12" s="27"/>
      <c r="J12" s="27"/>
      <c r="K12" s="27"/>
      <c r="L12" s="27"/>
      <c r="M12" s="27"/>
      <c r="N12" s="27"/>
      <c r="O12" s="27"/>
      <c r="P12" s="27"/>
      <c r="Q12" s="27"/>
      <c r="R12" s="27"/>
      <c r="S12" s="27"/>
      <c r="T12" s="27"/>
      <c r="U12" s="27"/>
      <c r="V12" s="27"/>
      <c r="W12" s="27"/>
      <c r="X12" s="27"/>
      <c r="Y12" s="27"/>
      <c r="Z12" s="28"/>
      <c r="AA12" s="28"/>
      <c r="AB12" s="28"/>
      <c r="AC12" s="28"/>
      <c r="AD12" s="28"/>
      <c r="AE12" s="28"/>
      <c r="AF12" s="28"/>
      <c r="AG12" s="28"/>
      <c r="AH12" s="28"/>
      <c r="AI12" s="28"/>
      <c r="AJ12" s="28"/>
      <c r="AK12" s="27"/>
      <c r="AL12" s="27"/>
      <c r="AM12" s="29"/>
      <c r="AN12" s="29"/>
      <c r="AO12" s="29"/>
      <c r="AP12" s="29"/>
      <c r="AQ12" s="27"/>
      <c r="AR12" s="27"/>
      <c r="AS12" s="27"/>
      <c r="AT12" s="27"/>
      <c r="AU12" s="27"/>
      <c r="AV12" s="27"/>
      <c r="AW12" s="27"/>
      <c r="AX12" s="27"/>
      <c r="AY12" s="27"/>
      <c r="AZ12" s="27"/>
      <c r="BA12" s="31"/>
      <c r="BB12" s="31"/>
      <c r="BC12" s="27"/>
      <c r="BD12" s="27"/>
      <c r="BE12" s="30"/>
      <c r="BF12" s="30"/>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2"/>
      <c r="CI12" s="33"/>
      <c r="CJ12" s="33"/>
      <c r="CK12" s="34"/>
      <c r="CL12" s="33"/>
      <c r="CM12" s="33"/>
      <c r="CN12" s="33"/>
      <c r="CO12" s="34"/>
      <c r="CP12" s="33"/>
      <c r="CQ12" s="33"/>
      <c r="CR12" s="33"/>
      <c r="CS12" s="33"/>
      <c r="CT12" s="33"/>
      <c r="CU12" s="33"/>
      <c r="CV12" s="33"/>
      <c r="CW12" s="33"/>
      <c r="CX12" s="33"/>
      <c r="CY12" s="34"/>
      <c r="CZ12" s="34"/>
      <c r="DA12" s="34"/>
      <c r="DB12" s="34"/>
      <c r="DC12" s="34"/>
      <c r="DD12" s="34"/>
      <c r="DE12" s="34"/>
      <c r="DF12" s="34"/>
      <c r="DG12" s="34"/>
      <c r="DH12" s="34"/>
      <c r="DI12" s="34"/>
      <c r="DJ12" s="34"/>
      <c r="DK12" s="34"/>
      <c r="DL12" s="33"/>
      <c r="DM12" s="33"/>
      <c r="DN12" s="33"/>
      <c r="DO12" s="34"/>
      <c r="DP12" s="34"/>
      <c r="DQ12" s="34"/>
      <c r="DR12" s="34"/>
      <c r="DS12" s="34"/>
      <c r="DT12" s="34"/>
      <c r="DU12" s="34"/>
      <c r="DV12" s="36"/>
      <c r="DW12" s="36"/>
      <c r="DX12" s="36"/>
      <c r="DY12" s="34"/>
      <c r="DZ12" s="33"/>
      <c r="EA12" s="33"/>
      <c r="EB12" s="33"/>
      <c r="EC12" s="34"/>
      <c r="ED12" s="34"/>
      <c r="EE12" s="34"/>
      <c r="EF12" s="34"/>
      <c r="EG12" s="34"/>
      <c r="EH12" s="34"/>
      <c r="EI12" s="34"/>
      <c r="EJ12" s="34"/>
      <c r="EK12" s="34"/>
      <c r="EL12" s="34"/>
      <c r="EM12" s="34"/>
      <c r="EN12" s="34"/>
      <c r="EO12" s="34"/>
      <c r="EP12" s="34"/>
      <c r="EQ12" s="34"/>
      <c r="ER12" s="33"/>
      <c r="ES12" s="33"/>
      <c r="ET12" s="33"/>
      <c r="EU12" s="37"/>
      <c r="EV12" s="37"/>
      <c r="EW12" s="33"/>
      <c r="EX12" s="33"/>
      <c r="EY12" s="33"/>
      <c r="EZ12" s="33"/>
      <c r="FA12" s="33"/>
      <c r="FB12" s="33"/>
      <c r="FC12" s="33"/>
      <c r="FD12" s="33"/>
      <c r="FE12" s="34"/>
      <c r="FF12" s="34"/>
      <c r="FG12" s="34"/>
      <c r="FH12" s="34"/>
      <c r="FI12" s="34"/>
      <c r="FJ12" s="34"/>
      <c r="FK12" s="34"/>
      <c r="FL12" s="34"/>
      <c r="FM12" s="34"/>
      <c r="FN12" s="38"/>
      <c r="FO12" s="38"/>
      <c r="FP12" s="38"/>
      <c r="FQ12" s="34"/>
      <c r="FR12" s="34"/>
      <c r="FS12" s="34"/>
      <c r="FT12" s="34"/>
      <c r="FU12" s="34"/>
      <c r="FV12" s="34"/>
      <c r="FW12" s="34"/>
      <c r="FX12" s="34"/>
      <c r="FY12" s="34"/>
      <c r="FZ12" s="34"/>
      <c r="GA12" s="34"/>
      <c r="GB12" s="34"/>
      <c r="GC12" s="34"/>
      <c r="GD12" s="34"/>
      <c r="GE12" s="34"/>
      <c r="GF12" s="34"/>
      <c r="GG12" s="34"/>
      <c r="GH12" s="34"/>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row>
    <row r="13" spans="1:233" ht="12.75">
      <c r="A13" s="12" t="s">
        <v>153</v>
      </c>
      <c r="B13" s="34"/>
      <c r="C13" s="34"/>
      <c r="D13" s="39">
        <f>5878+5878+5878+4898+4898+4899+4898+4898+4899+3918.7+3918.7+3918.6</f>
        <v>58779.99999999999</v>
      </c>
      <c r="E13" s="39">
        <f>5878+5878+5878+4898+4898+4899+4898+4898+4899+3918.7+3918.7+3918.6</f>
        <v>58779.99999999999</v>
      </c>
      <c r="F13" s="34"/>
      <c r="G13" s="34"/>
      <c r="H13" s="34"/>
      <c r="I13" s="34"/>
      <c r="J13" s="34"/>
      <c r="K13" s="34"/>
      <c r="L13" s="34"/>
      <c r="M13" s="34"/>
      <c r="N13" s="34"/>
      <c r="O13" s="34"/>
      <c r="P13" s="34"/>
      <c r="Q13" s="34"/>
      <c r="R13" s="39">
        <v>11470</v>
      </c>
      <c r="S13" s="39">
        <f>11430.68654</f>
        <v>11430.68654</v>
      </c>
      <c r="T13" s="39">
        <v>4764.97114</v>
      </c>
      <c r="U13" s="39">
        <v>4764.97114</v>
      </c>
      <c r="V13" s="39"/>
      <c r="W13" s="34"/>
      <c r="X13" s="34"/>
      <c r="Y13" s="34"/>
      <c r="Z13" s="34"/>
      <c r="AA13" s="34"/>
      <c r="AB13" s="34"/>
      <c r="AC13" s="34"/>
      <c r="AD13" s="34"/>
      <c r="AE13" s="34"/>
      <c r="AF13" s="34"/>
      <c r="AG13" s="48"/>
      <c r="AH13" s="126">
        <f>B13+D13+F13+H13+J13+L13+N13+P13+R13+T13+V13+X13+Z13+AB13+AD13+AF13</f>
        <v>75014.97114</v>
      </c>
      <c r="AI13" s="126">
        <f>C13+E13+G13+I13+K13+M13+O13+Q13+S13+U13+W13+Y13+AA13+AC13+AE13+AG13</f>
        <v>74975.65767999999</v>
      </c>
      <c r="AJ13" s="43">
        <v>2364.3</v>
      </c>
      <c r="AK13" s="43">
        <v>2364.3</v>
      </c>
      <c r="AL13" s="134"/>
      <c r="AM13" s="41"/>
      <c r="AN13" s="41">
        <v>200</v>
      </c>
      <c r="AO13" s="41">
        <v>200</v>
      </c>
      <c r="AP13" s="41"/>
      <c r="AQ13" s="41"/>
      <c r="AR13" s="39">
        <v>2500</v>
      </c>
      <c r="AS13" s="39">
        <v>2500</v>
      </c>
      <c r="AT13" s="43">
        <v>310</v>
      </c>
      <c r="AU13" s="43">
        <v>310</v>
      </c>
      <c r="AV13" s="43">
        <v>200</v>
      </c>
      <c r="AW13" s="43">
        <v>200</v>
      </c>
      <c r="AX13" s="43"/>
      <c r="AY13" s="43"/>
      <c r="AZ13" s="39">
        <f>AJ13+AL13+AN13+AP13+AR13+AT13+AV13+AX13</f>
        <v>5574.3</v>
      </c>
      <c r="BA13" s="39">
        <f>AK13+AM13+AO13+AQ13+AS13+AU13+AW13+AY13</f>
        <v>5574.3</v>
      </c>
      <c r="BB13" s="39">
        <v>10485</v>
      </c>
      <c r="BC13" s="39">
        <v>10485</v>
      </c>
      <c r="BD13" s="39">
        <v>673.2</v>
      </c>
      <c r="BE13" s="43">
        <v>673.2</v>
      </c>
      <c r="BF13" s="43">
        <v>5901.2</v>
      </c>
      <c r="BG13" s="43">
        <v>5901.2</v>
      </c>
      <c r="BH13" s="43">
        <v>5204</v>
      </c>
      <c r="BI13" s="43">
        <v>1508.2</v>
      </c>
      <c r="BJ13" s="43"/>
      <c r="BK13" s="43"/>
      <c r="BL13" s="43"/>
      <c r="BM13" s="45"/>
      <c r="BN13" s="43">
        <v>5820.523</v>
      </c>
      <c r="BO13" s="43">
        <v>5726.772</v>
      </c>
      <c r="BP13" s="43">
        <v>2995</v>
      </c>
      <c r="BQ13" s="43">
        <v>2934.557</v>
      </c>
      <c r="BR13" s="43">
        <v>40550</v>
      </c>
      <c r="BS13" s="43">
        <v>40549.997</v>
      </c>
      <c r="BT13" s="43">
        <v>29975.6</v>
      </c>
      <c r="BU13" s="43">
        <v>29975.6</v>
      </c>
      <c r="BV13" s="43">
        <v>40933.836</v>
      </c>
      <c r="BW13" s="43">
        <v>40726.702</v>
      </c>
      <c r="BX13" s="43">
        <v>27212.09</v>
      </c>
      <c r="BY13" s="43">
        <v>19682.199</v>
      </c>
      <c r="BZ13" s="43"/>
      <c r="CA13" s="45"/>
      <c r="CB13" s="39">
        <v>2301.48</v>
      </c>
      <c r="CC13" s="39">
        <v>2301.48</v>
      </c>
      <c r="CD13" s="43">
        <v>5514.18</v>
      </c>
      <c r="CE13" s="43">
        <v>5514.18</v>
      </c>
      <c r="CF13" s="39">
        <f>BD13+BF13+BH13+BJ13+BL13+BN13+BP13+BR13+BT13+BV13+BX13+CB13+CD13+BZ13</f>
        <v>167081.109</v>
      </c>
      <c r="CG13" s="39">
        <f>BE13+BG13+BI13+BK13+BM13+BO13+BQ13+BS13+BU13+BW13+BY13+CC13+CE13+CA13</f>
        <v>155494.087</v>
      </c>
      <c r="CH13" s="39">
        <v>13024.864230000001</v>
      </c>
      <c r="CI13" s="39">
        <v>13024.864230000001</v>
      </c>
      <c r="CJ13" s="39">
        <v>4159.20835</v>
      </c>
      <c r="CK13" s="43">
        <v>4159.20835</v>
      </c>
      <c r="CL13" s="43"/>
      <c r="CM13" s="45"/>
      <c r="CN13" s="45"/>
      <c r="CO13" s="45"/>
      <c r="CP13" s="43"/>
      <c r="CQ13" s="45"/>
      <c r="CR13" s="43"/>
      <c r="CS13" s="45"/>
      <c r="CT13" s="45"/>
      <c r="CU13" s="45"/>
      <c r="CV13" s="45"/>
      <c r="CW13" s="39"/>
      <c r="CX13" s="39"/>
      <c r="CY13" s="39"/>
      <c r="CZ13" s="39">
        <v>156.863</v>
      </c>
      <c r="DA13" s="39">
        <v>156.863</v>
      </c>
      <c r="DB13" s="39"/>
      <c r="DC13" s="39"/>
      <c r="DD13" s="43">
        <v>3700</v>
      </c>
      <c r="DE13" s="43">
        <v>3700</v>
      </c>
      <c r="DF13" s="39">
        <f>CH13+CJ13+CL13+CN13+CP13+CX13+CZ13+CR13+CT13+CV13+DD13+DB13</f>
        <v>21040.93558</v>
      </c>
      <c r="DG13" s="39">
        <f>CI13+CK13+CM13+CO13+CQ13+CY13+DA13+CS13+CU13+CW13+DE13+DC13</f>
        <v>21040.93558</v>
      </c>
      <c r="DH13" s="39">
        <v>2800</v>
      </c>
      <c r="DI13" s="39">
        <f>1359.69+1440.31</f>
        <v>2800</v>
      </c>
      <c r="DJ13" s="39">
        <v>2800</v>
      </c>
      <c r="DK13" s="39">
        <f>DI13</f>
        <v>2800</v>
      </c>
      <c r="DL13" s="39"/>
      <c r="DM13" s="39"/>
      <c r="DN13" s="39"/>
      <c r="DO13" s="39"/>
      <c r="DP13" s="39">
        <f>DL13+DN13</f>
        <v>0</v>
      </c>
      <c r="DQ13" s="39">
        <f>DM13+DO13</f>
        <v>0</v>
      </c>
      <c r="DR13" s="39"/>
      <c r="DS13" s="39"/>
      <c r="DT13" s="39"/>
      <c r="DU13" s="39"/>
      <c r="DV13" s="39"/>
      <c r="DW13" s="39"/>
      <c r="DX13" s="39"/>
      <c r="DY13" s="39"/>
      <c r="DZ13" s="43">
        <v>670</v>
      </c>
      <c r="EA13" s="43">
        <v>670</v>
      </c>
      <c r="EB13" s="45"/>
      <c r="EC13" s="45"/>
      <c r="ED13" s="39">
        <v>50</v>
      </c>
      <c r="EE13" s="39">
        <v>50</v>
      </c>
      <c r="EF13" s="39"/>
      <c r="EG13" s="45"/>
      <c r="EH13" s="43">
        <v>41629.8</v>
      </c>
      <c r="EI13" s="39">
        <v>41629.8</v>
      </c>
      <c r="EJ13" s="39">
        <v>19</v>
      </c>
      <c r="EK13" s="43">
        <v>19</v>
      </c>
      <c r="EL13" s="45"/>
      <c r="EM13" s="45"/>
      <c r="EN13" s="39"/>
      <c r="EO13" s="39"/>
      <c r="EP13" s="45"/>
      <c r="EQ13" s="45"/>
      <c r="ER13" s="37"/>
      <c r="ES13" s="37"/>
      <c r="ET13" s="135"/>
      <c r="EU13" s="135"/>
      <c r="EV13" s="37"/>
      <c r="EW13" s="37"/>
      <c r="EX13" s="37"/>
      <c r="EY13" s="37"/>
      <c r="EZ13" s="37"/>
      <c r="FA13" s="37"/>
      <c r="FB13" s="37">
        <f>DR13+DT13+DX13+EB13+DV13+EJ13+EL13+DZ13+ED13+EF13+EH13+EN13+EP13+ER13+ET13+EV13+EX13+EZ13</f>
        <v>42368.8</v>
      </c>
      <c r="FC13" s="37">
        <f>DS13+DU13+DY13+EC13+DW13+EK13+EM13+EA13+EE13+EG13+EI13+EO13+EQ13+ES13+EU13+EW13+EY13+FA13</f>
        <v>42368.8</v>
      </c>
      <c r="FD13" s="132">
        <v>26.81</v>
      </c>
      <c r="FE13" s="132">
        <v>26.81</v>
      </c>
      <c r="FF13" s="43">
        <v>1.41</v>
      </c>
      <c r="FG13" s="43">
        <v>1.41</v>
      </c>
      <c r="FH13" s="132">
        <f>FD13+FF13</f>
        <v>28.22</v>
      </c>
      <c r="FI13" s="132">
        <f>FE13+FG13</f>
        <v>28.22</v>
      </c>
      <c r="FJ13" s="39"/>
      <c r="FK13" s="39"/>
      <c r="FL13" s="39"/>
      <c r="FM13" s="39"/>
      <c r="FN13" s="39"/>
      <c r="FO13" s="39"/>
      <c r="FP13" s="39"/>
      <c r="FQ13" s="39"/>
      <c r="FR13" s="39">
        <f>47465.5+50000</f>
        <v>97465.5</v>
      </c>
      <c r="FS13" s="39">
        <f>24240.368+49967.949</f>
        <v>74208.317</v>
      </c>
      <c r="FT13" s="43">
        <v>11373</v>
      </c>
      <c r="FU13" s="43">
        <v>11373</v>
      </c>
      <c r="FV13" s="43">
        <v>16702</v>
      </c>
      <c r="FW13" s="43">
        <v>16702</v>
      </c>
      <c r="FX13" s="45">
        <v>5930</v>
      </c>
      <c r="FY13" s="45">
        <v>5930</v>
      </c>
      <c r="FZ13" s="43">
        <v>40235</v>
      </c>
      <c r="GA13" s="43">
        <v>40235</v>
      </c>
      <c r="GB13" s="45"/>
      <c r="GC13" s="45"/>
      <c r="GD13" s="39">
        <v>56599.7</v>
      </c>
      <c r="GE13" s="39">
        <v>56599.7</v>
      </c>
      <c r="GF13" s="43">
        <v>7379.5</v>
      </c>
      <c r="GG13" s="43">
        <v>7379.5</v>
      </c>
      <c r="GH13" s="43">
        <v>3159.6</v>
      </c>
      <c r="GI13" s="43">
        <v>3159.6</v>
      </c>
      <c r="GJ13" s="43">
        <v>633020.8</v>
      </c>
      <c r="GK13" s="43">
        <v>633020.8</v>
      </c>
      <c r="GL13" s="43">
        <v>915893.5</v>
      </c>
      <c r="GM13" s="43">
        <v>915893.5</v>
      </c>
      <c r="GN13" s="43">
        <v>5593</v>
      </c>
      <c r="GO13" s="43">
        <v>5593</v>
      </c>
      <c r="GP13" s="43">
        <v>78499</v>
      </c>
      <c r="GQ13" s="43">
        <v>78499</v>
      </c>
      <c r="GR13" s="43">
        <v>8328</v>
      </c>
      <c r="GS13" s="43">
        <v>7719</v>
      </c>
      <c r="GT13" s="43">
        <v>2435</v>
      </c>
      <c r="GU13" s="43">
        <v>2435</v>
      </c>
      <c r="GV13" s="43">
        <v>68724</v>
      </c>
      <c r="GW13" s="43">
        <v>68724</v>
      </c>
      <c r="GX13" s="45">
        <v>18140.7</v>
      </c>
      <c r="GY13" s="45">
        <v>18140.7</v>
      </c>
      <c r="GZ13" s="43">
        <v>100</v>
      </c>
      <c r="HA13" s="43">
        <v>100</v>
      </c>
      <c r="HB13" s="43">
        <v>2242.5</v>
      </c>
      <c r="HC13" s="43">
        <v>2242.5</v>
      </c>
      <c r="HD13" s="39">
        <f>FJ13+FL13+FN13+FP13+FR13+FT13+FV13+FX13+FZ13+GB13+GD13+GF13+GH13+GJ13+GP13+GR13+GV13+GN13+GT13+GL13+GX13+GZ13+HB13</f>
        <v>1971820.8</v>
      </c>
      <c r="HE13" s="39">
        <f>FK13+FM13+FO13+FQ13+FS13+FU13+FW13+FY13+GA13+GC13+GE13+GG13+GI13+GK13+GQ13+GS13+GW13+GO13+GU13+GM13+GY13+HA13+HC13</f>
        <v>1947954.6169999999</v>
      </c>
      <c r="HF13" s="39"/>
      <c r="HG13" s="39"/>
      <c r="HH13" s="39"/>
      <c r="HI13" s="43"/>
      <c r="HJ13" s="45"/>
      <c r="HK13" s="45"/>
      <c r="HL13" s="126">
        <v>665</v>
      </c>
      <c r="HM13" s="126">
        <v>665</v>
      </c>
      <c r="HN13" s="136"/>
      <c r="HO13" s="136"/>
      <c r="HP13" s="39">
        <f>HF13+HH13+HJ13+HL13+HN13</f>
        <v>665</v>
      </c>
      <c r="HQ13" s="39">
        <f>HG13+HI13+HK13+HM13+HO13</f>
        <v>665</v>
      </c>
      <c r="HR13" s="39"/>
      <c r="HS13" s="39"/>
      <c r="HT13" s="39">
        <v>2000</v>
      </c>
      <c r="HU13" s="43">
        <v>2000</v>
      </c>
      <c r="HV13" s="39">
        <v>67.3</v>
      </c>
      <c r="HW13" s="39">
        <v>67.3</v>
      </c>
      <c r="HX13" s="39">
        <f>HR13+HT13+HV13</f>
        <v>2067.3</v>
      </c>
      <c r="HY13" s="39">
        <f>HS13+HU13+HW13</f>
        <v>2067.3</v>
      </c>
    </row>
    <row r="14" spans="1:233" ht="12.75" customHeight="1">
      <c r="A14" s="12" t="s">
        <v>152</v>
      </c>
      <c r="B14" s="39">
        <f>21079+14052.8+17566+10539.2+17566+17566+17566+17566+17566+17566+14052.7+14052.7+14052.6</f>
        <v>210791.00000000003</v>
      </c>
      <c r="C14" s="39">
        <f>21079+14052.8+17566+10539.2+17566+17566+17566+17566+17566+17566+14052.7+14052.7+14052.6</f>
        <v>210791.00000000003</v>
      </c>
      <c r="D14" s="39">
        <f>1026+1026+1025+855+855+854+855+855+854+683.7+683.7+683.6</f>
        <v>10256.000000000002</v>
      </c>
      <c r="E14" s="39">
        <f>1026+1026+1025+855+855+854+855+855+854+683.7+683.7+683.6</f>
        <v>10256.000000000002</v>
      </c>
      <c r="F14" s="34"/>
      <c r="G14" s="34"/>
      <c r="H14" s="34"/>
      <c r="I14" s="34"/>
      <c r="J14" s="34"/>
      <c r="K14" s="34"/>
      <c r="L14" s="34"/>
      <c r="M14" s="34"/>
      <c r="N14" s="34"/>
      <c r="O14" s="34"/>
      <c r="P14" s="34"/>
      <c r="Q14" s="34"/>
      <c r="R14" s="39">
        <v>1755</v>
      </c>
      <c r="S14" s="39">
        <f>1753.28623</f>
        <v>1753.28623</v>
      </c>
      <c r="T14" s="39">
        <v>1555.37303</v>
      </c>
      <c r="U14" s="39">
        <v>1555.37303</v>
      </c>
      <c r="V14" s="39"/>
      <c r="W14" s="34"/>
      <c r="X14" s="34"/>
      <c r="Y14" s="34"/>
      <c r="Z14" s="39">
        <v>9500</v>
      </c>
      <c r="AA14" s="39">
        <v>9500</v>
      </c>
      <c r="AB14" s="34"/>
      <c r="AC14" s="34"/>
      <c r="AD14" s="34"/>
      <c r="AE14" s="34"/>
      <c r="AF14" s="34"/>
      <c r="AG14" s="48"/>
      <c r="AH14" s="126">
        <f aca="true" t="shared" si="5" ref="AH14:AH78">B14+D14+F14+H14+J14+L14+N14+P14+R14+T14+V14+X14+Z14+AB14+AD14+AF14</f>
        <v>233857.37303000002</v>
      </c>
      <c r="AI14" s="126">
        <f aca="true" t="shared" si="6" ref="AI14:AI46">C14+E14+G14+I14+K14+M14+O14+Q14+S14+U14+W14+Y14+AA14+AC14+AE14+AG14</f>
        <v>233855.65926000001</v>
      </c>
      <c r="AJ14" s="43">
        <v>344.9</v>
      </c>
      <c r="AK14" s="43">
        <v>344.9</v>
      </c>
      <c r="AL14" s="134"/>
      <c r="AM14" s="41"/>
      <c r="AN14" s="41"/>
      <c r="AO14" s="41"/>
      <c r="AP14" s="41"/>
      <c r="AQ14" s="41"/>
      <c r="AR14" s="39"/>
      <c r="AS14" s="39"/>
      <c r="AT14" s="43"/>
      <c r="AU14" s="43"/>
      <c r="AV14" s="43"/>
      <c r="AW14" s="43"/>
      <c r="AX14" s="43"/>
      <c r="AY14" s="43"/>
      <c r="AZ14" s="39">
        <f aca="true" t="shared" si="7" ref="AZ14:AZ78">AJ14+AL14+AN14+AP14+AR14+AT14+AV14+AX14</f>
        <v>344.9</v>
      </c>
      <c r="BA14" s="39">
        <f aca="true" t="shared" si="8" ref="BA14:BA77">AK14+AM14+AO14+AQ14+AS14+AU14+AW14+AY14</f>
        <v>344.9</v>
      </c>
      <c r="BB14" s="39">
        <v>2580</v>
      </c>
      <c r="BC14" s="39">
        <v>2580</v>
      </c>
      <c r="BD14" s="39"/>
      <c r="BE14" s="43"/>
      <c r="BF14" s="45"/>
      <c r="BG14" s="45"/>
      <c r="BH14" s="43">
        <v>17441</v>
      </c>
      <c r="BI14" s="43">
        <v>17287.371</v>
      </c>
      <c r="BJ14" s="43"/>
      <c r="BK14" s="43"/>
      <c r="BL14" s="43"/>
      <c r="BM14" s="45"/>
      <c r="BN14" s="43">
        <v>810</v>
      </c>
      <c r="BO14" s="43">
        <v>675</v>
      </c>
      <c r="BP14" s="43"/>
      <c r="BQ14" s="43"/>
      <c r="BR14" s="43"/>
      <c r="BS14" s="43"/>
      <c r="BT14" s="43">
        <v>141.7</v>
      </c>
      <c r="BU14" s="43">
        <v>141.7</v>
      </c>
      <c r="BV14" s="43">
        <v>122.1</v>
      </c>
      <c r="BW14" s="43">
        <v>122.1</v>
      </c>
      <c r="BX14" s="43"/>
      <c r="BY14" s="43"/>
      <c r="BZ14" s="43"/>
      <c r="CA14" s="45"/>
      <c r="CB14" s="39">
        <v>1150.74</v>
      </c>
      <c r="CC14" s="39">
        <v>1150.74</v>
      </c>
      <c r="CD14" s="43">
        <v>575.37</v>
      </c>
      <c r="CE14" s="43">
        <v>575.37</v>
      </c>
      <c r="CF14" s="39">
        <f aca="true" t="shared" si="9" ref="CF14:CF78">BD14+BF14+BH14+BJ14+BL14+BN14+BP14+BR14+BT14+BV14+BX14+CB14+CD14+BZ14</f>
        <v>20240.91</v>
      </c>
      <c r="CG14" s="39">
        <f aca="true" t="shared" si="10" ref="CG14:CG46">BE14+BG14+BI14+BK14+BM14+BO14+BQ14+BS14+BU14+BW14+BY14+CC14+CE14+CA14</f>
        <v>19952.281</v>
      </c>
      <c r="CH14" s="39">
        <v>23459.44857</v>
      </c>
      <c r="CI14" s="39">
        <v>21016.78357</v>
      </c>
      <c r="CJ14" s="39">
        <v>19946.2565</v>
      </c>
      <c r="CK14" s="43">
        <v>18963.173890000002</v>
      </c>
      <c r="CL14" s="43">
        <v>18.189220000000002</v>
      </c>
      <c r="CM14" s="43">
        <v>18.189220000000002</v>
      </c>
      <c r="CN14" s="43">
        <v>5.77801</v>
      </c>
      <c r="CO14" s="43">
        <v>5.77801</v>
      </c>
      <c r="CP14" s="43"/>
      <c r="CQ14" s="45"/>
      <c r="CR14" s="43"/>
      <c r="CS14" s="45"/>
      <c r="CT14" s="45"/>
      <c r="CU14" s="45"/>
      <c r="CV14" s="45"/>
      <c r="CW14" s="39"/>
      <c r="CX14" s="39">
        <v>104.32971</v>
      </c>
      <c r="CY14" s="39"/>
      <c r="CZ14" s="39">
        <v>827.094</v>
      </c>
      <c r="DA14" s="39">
        <v>827.094</v>
      </c>
      <c r="DB14" s="39">
        <v>42.29672</v>
      </c>
      <c r="DC14" s="39"/>
      <c r="DD14" s="43"/>
      <c r="DE14" s="43"/>
      <c r="DF14" s="39">
        <f aca="true" t="shared" si="11" ref="DF14:DF78">CH14+CJ14+CL14+CN14+CP14+CX14+CZ14+CR14+CT14+CV14+DD14+DB14</f>
        <v>44403.39272999999</v>
      </c>
      <c r="DG14" s="39">
        <f aca="true" t="shared" si="12" ref="DG14:DG46">CI14+CK14+CM14+CO14+CQ14+CY14+DA14+CS14+CU14+CW14+DE14+DC14</f>
        <v>40831.018690000004</v>
      </c>
      <c r="DH14" s="39"/>
      <c r="DI14" s="39"/>
      <c r="DJ14" s="39">
        <v>0</v>
      </c>
      <c r="DK14" s="39">
        <f aca="true" t="shared" si="13" ref="DK14:DK77">DI14</f>
        <v>0</v>
      </c>
      <c r="DL14" s="39"/>
      <c r="DM14" s="39"/>
      <c r="DN14" s="39"/>
      <c r="DO14" s="39"/>
      <c r="DP14" s="39">
        <f aca="true" t="shared" si="14" ref="DP14:DP78">DL14+DN14</f>
        <v>0</v>
      </c>
      <c r="DQ14" s="39">
        <f aca="true" t="shared" si="15" ref="DQ14:DQ77">DM14+DO14</f>
        <v>0</v>
      </c>
      <c r="DR14" s="39"/>
      <c r="DS14" s="39"/>
      <c r="DT14" s="39"/>
      <c r="DU14" s="39"/>
      <c r="DV14" s="39"/>
      <c r="DW14" s="39"/>
      <c r="DX14" s="39">
        <v>7</v>
      </c>
      <c r="DY14" s="39">
        <v>7</v>
      </c>
      <c r="DZ14" s="43"/>
      <c r="EA14" s="43"/>
      <c r="EB14" s="45"/>
      <c r="EC14" s="45"/>
      <c r="ED14" s="39">
        <v>130</v>
      </c>
      <c r="EE14" s="39">
        <v>130</v>
      </c>
      <c r="EF14" s="39"/>
      <c r="EG14" s="45"/>
      <c r="EH14" s="43">
        <v>5784</v>
      </c>
      <c r="EI14" s="39">
        <v>5784</v>
      </c>
      <c r="EJ14" s="39">
        <v>19</v>
      </c>
      <c r="EK14" s="43">
        <v>19</v>
      </c>
      <c r="EL14" s="45"/>
      <c r="EM14" s="45"/>
      <c r="EN14" s="39"/>
      <c r="EO14" s="39"/>
      <c r="EP14" s="45"/>
      <c r="EQ14" s="45"/>
      <c r="ER14" s="37"/>
      <c r="ES14" s="37"/>
      <c r="ET14" s="135"/>
      <c r="EU14" s="135"/>
      <c r="EV14" s="37"/>
      <c r="EW14" s="37"/>
      <c r="EX14" s="37"/>
      <c r="EY14" s="37"/>
      <c r="EZ14" s="37"/>
      <c r="FA14" s="37"/>
      <c r="FB14" s="37">
        <f aca="true" t="shared" si="16" ref="FB14:FB78">DR14+DT14+DX14+EB14+DV14+EJ14+EL14+DZ14+ED14+EF14+EH14+EN14+EP14+ER14+ET14+EV14+EX14+EZ14</f>
        <v>5940</v>
      </c>
      <c r="FC14" s="37">
        <f aca="true" t="shared" si="17" ref="FC14:FC46">DS14+DU14+DY14+EC14+DW14+EK14+EM14+EA14+EE14+EG14+EI14+EO14+EQ14+ES14+EU14+EW14+EY14+FA14</f>
        <v>5940</v>
      </c>
      <c r="FD14" s="132"/>
      <c r="FE14" s="132"/>
      <c r="FF14" s="43"/>
      <c r="FG14" s="43"/>
      <c r="FH14" s="132">
        <f aca="true" t="shared" si="18" ref="FH14:FH78">FD14+FF14</f>
        <v>0</v>
      </c>
      <c r="FI14" s="132">
        <f aca="true" t="shared" si="19" ref="FI14:FI77">FE14+FG14</f>
        <v>0</v>
      </c>
      <c r="FJ14" s="39"/>
      <c r="FK14" s="39"/>
      <c r="FL14" s="39"/>
      <c r="FM14" s="39"/>
      <c r="FN14" s="39"/>
      <c r="FO14" s="39"/>
      <c r="FP14" s="39"/>
      <c r="FQ14" s="39"/>
      <c r="FR14" s="39"/>
      <c r="FS14" s="39"/>
      <c r="FT14" s="43">
        <v>3907</v>
      </c>
      <c r="FU14" s="43">
        <v>3907</v>
      </c>
      <c r="FV14" s="43">
        <v>1582</v>
      </c>
      <c r="FW14" s="43">
        <v>1582</v>
      </c>
      <c r="FX14" s="43">
        <v>1401</v>
      </c>
      <c r="FY14" s="43">
        <v>1401</v>
      </c>
      <c r="FZ14" s="43">
        <v>7951</v>
      </c>
      <c r="GA14" s="43">
        <v>7951</v>
      </c>
      <c r="GB14" s="43"/>
      <c r="GC14" s="43"/>
      <c r="GD14" s="39"/>
      <c r="GE14" s="39"/>
      <c r="GF14" s="43">
        <v>2951.8</v>
      </c>
      <c r="GG14" s="43">
        <v>2951.8</v>
      </c>
      <c r="GH14" s="43">
        <v>1263.8</v>
      </c>
      <c r="GI14" s="43">
        <v>1263.8</v>
      </c>
      <c r="GJ14" s="43">
        <v>122885</v>
      </c>
      <c r="GK14" s="43">
        <v>122885</v>
      </c>
      <c r="GL14" s="43">
        <v>180243.3</v>
      </c>
      <c r="GM14" s="43">
        <v>180243.3</v>
      </c>
      <c r="GN14" s="43">
        <v>3448</v>
      </c>
      <c r="GO14" s="43">
        <v>3448</v>
      </c>
      <c r="GP14" s="43">
        <v>17664.2</v>
      </c>
      <c r="GQ14" s="43">
        <v>17664.2</v>
      </c>
      <c r="GR14" s="43">
        <v>1316</v>
      </c>
      <c r="GS14" s="43">
        <v>1316</v>
      </c>
      <c r="GT14" s="43">
        <v>743</v>
      </c>
      <c r="GU14" s="43">
        <v>743</v>
      </c>
      <c r="GV14" s="43">
        <v>15099</v>
      </c>
      <c r="GW14" s="43">
        <v>15099</v>
      </c>
      <c r="GX14" s="45">
        <v>3819.1</v>
      </c>
      <c r="GY14" s="45">
        <v>3819.1</v>
      </c>
      <c r="GZ14" s="43">
        <v>50</v>
      </c>
      <c r="HA14" s="43">
        <v>50</v>
      </c>
      <c r="HB14" s="43">
        <v>169.6</v>
      </c>
      <c r="HC14" s="43">
        <v>169.6</v>
      </c>
      <c r="HD14" s="39">
        <f aca="true" t="shared" si="20" ref="HD14:HD78">FJ14+FL14+FN14+FP14+FR14+FT14+FV14+FX14+FZ14+GB14+GD14+GF14+GH14+GJ14+GP14+GR14+GV14+GN14+GT14+GL14+GX14+GZ14+HB14</f>
        <v>364493.79999999993</v>
      </c>
      <c r="HE14" s="39">
        <f aca="true" t="shared" si="21" ref="HE14:HE46">FK14+FM14+FO14+FQ14+FS14+FU14+FW14+FY14+GA14+GC14+GE14+GG14+GI14+GK14+GQ14+GS14+GW14+GO14+GU14+GM14+GY14+HA14+HC14</f>
        <v>364493.79999999993</v>
      </c>
      <c r="HF14" s="39"/>
      <c r="HG14" s="39"/>
      <c r="HH14" s="39"/>
      <c r="HI14" s="43"/>
      <c r="HJ14" s="45"/>
      <c r="HK14" s="45"/>
      <c r="HL14" s="136"/>
      <c r="HM14" s="136"/>
      <c r="HN14" s="136"/>
      <c r="HO14" s="136"/>
      <c r="HP14" s="39">
        <f aca="true" t="shared" si="22" ref="HP14:HP78">HF14+HH14+HJ14+HL14+HN14</f>
        <v>0</v>
      </c>
      <c r="HQ14" s="39">
        <f aca="true" t="shared" si="23" ref="HQ14:HQ46">HG14+HI14+HK14+HM14+HO14</f>
        <v>0</v>
      </c>
      <c r="HR14" s="39"/>
      <c r="HS14" s="39"/>
      <c r="HT14" s="39">
        <v>349</v>
      </c>
      <c r="HU14" s="43">
        <v>349</v>
      </c>
      <c r="HV14" s="39">
        <v>6.724</v>
      </c>
      <c r="HW14" s="39">
        <v>6.724</v>
      </c>
      <c r="HX14" s="39">
        <f aca="true" t="shared" si="24" ref="HX14:HX78">HR14+HT14+HV14</f>
        <v>355.724</v>
      </c>
      <c r="HY14" s="39">
        <f aca="true" t="shared" si="25" ref="HY14:HY46">HS14+HU14+HW14</f>
        <v>355.724</v>
      </c>
    </row>
    <row r="15" spans="1:233" ht="12.75">
      <c r="A15" s="12" t="s">
        <v>151</v>
      </c>
      <c r="B15" s="39">
        <f>2783+1855+2319+1392+2319+2319+2319+2319+2319+2319+1855.7+1855.7+1855.6</f>
        <v>27830</v>
      </c>
      <c r="C15" s="39">
        <f>2783+1855+2319+1392+2319+2319+2319+2319+2319+2319+1855.7+1855.7+1855.6</f>
        <v>27830</v>
      </c>
      <c r="D15" s="39">
        <f>2332+2332+2331+1943+1943+1943+1943+1943+1943+1554.7+1554.7+1554.6</f>
        <v>23317</v>
      </c>
      <c r="E15" s="39">
        <f>2332+2332+2331+1943+1943+1943+1943+1943+1943+1554.7+1554.7+1554.6</f>
        <v>23317</v>
      </c>
      <c r="F15" s="34"/>
      <c r="G15" s="34"/>
      <c r="H15" s="34"/>
      <c r="I15" s="34"/>
      <c r="J15" s="34"/>
      <c r="K15" s="34"/>
      <c r="L15" s="39">
        <v>35000</v>
      </c>
      <c r="M15" s="39">
        <v>35000</v>
      </c>
      <c r="N15" s="39"/>
      <c r="O15" s="34"/>
      <c r="P15" s="34"/>
      <c r="Q15" s="34"/>
      <c r="R15" s="39">
        <v>2800</v>
      </c>
      <c r="S15" s="39">
        <f>2753.19709</f>
        <v>2753.19709</v>
      </c>
      <c r="T15" s="39">
        <v>13683.758230000001</v>
      </c>
      <c r="U15" s="39">
        <f>1143.75823+12540</f>
        <v>13683.75823</v>
      </c>
      <c r="V15" s="39"/>
      <c r="W15" s="34"/>
      <c r="X15" s="34"/>
      <c r="Y15" s="34"/>
      <c r="Z15" s="39"/>
      <c r="AA15" s="39"/>
      <c r="AB15" s="34"/>
      <c r="AC15" s="34"/>
      <c r="AD15" s="34"/>
      <c r="AE15" s="34"/>
      <c r="AF15" s="34"/>
      <c r="AG15" s="48"/>
      <c r="AH15" s="126">
        <f t="shared" si="5"/>
        <v>102630.75823</v>
      </c>
      <c r="AI15" s="126">
        <f t="shared" si="6"/>
        <v>102583.95532000001</v>
      </c>
      <c r="AJ15" s="43">
        <v>861</v>
      </c>
      <c r="AK15" s="43">
        <v>861</v>
      </c>
      <c r="AL15" s="134">
        <v>4461.72</v>
      </c>
      <c r="AM15" s="41">
        <f>1170.778+3031.16</f>
        <v>4201.938</v>
      </c>
      <c r="AN15" s="41"/>
      <c r="AO15" s="41"/>
      <c r="AP15" s="41"/>
      <c r="AQ15" s="41"/>
      <c r="AR15" s="39"/>
      <c r="AS15" s="39"/>
      <c r="AT15" s="43">
        <v>190</v>
      </c>
      <c r="AU15" s="43">
        <v>190</v>
      </c>
      <c r="AV15" s="43"/>
      <c r="AW15" s="43"/>
      <c r="AX15" s="43">
        <v>12284.1</v>
      </c>
      <c r="AY15" s="43">
        <v>12284.1</v>
      </c>
      <c r="AZ15" s="39">
        <f t="shared" si="7"/>
        <v>17796.82</v>
      </c>
      <c r="BA15" s="39">
        <f t="shared" si="8"/>
        <v>17537.038</v>
      </c>
      <c r="BB15" s="39">
        <v>4011</v>
      </c>
      <c r="BC15" s="39">
        <v>4011</v>
      </c>
      <c r="BD15" s="39"/>
      <c r="BE15" s="43"/>
      <c r="BF15" s="45"/>
      <c r="BG15" s="45"/>
      <c r="BH15" s="43"/>
      <c r="BI15" s="43"/>
      <c r="BJ15" s="43"/>
      <c r="BK15" s="43"/>
      <c r="BL15" s="43"/>
      <c r="BM15" s="45"/>
      <c r="BN15" s="43">
        <v>1697.342</v>
      </c>
      <c r="BO15" s="43">
        <v>1697.342</v>
      </c>
      <c r="BP15" s="43"/>
      <c r="BQ15" s="43"/>
      <c r="BR15" s="43"/>
      <c r="BS15" s="43"/>
      <c r="BT15" s="43">
        <v>3866</v>
      </c>
      <c r="BU15" s="43">
        <v>3866</v>
      </c>
      <c r="BV15" s="43">
        <v>4720.767</v>
      </c>
      <c r="BW15" s="43">
        <v>4720.767</v>
      </c>
      <c r="BX15" s="43">
        <v>2863.29</v>
      </c>
      <c r="BY15" s="43">
        <v>2541.198</v>
      </c>
      <c r="BZ15" s="43"/>
      <c r="CA15" s="45"/>
      <c r="CB15" s="39">
        <v>1150.74</v>
      </c>
      <c r="CC15" s="39">
        <v>1150.74</v>
      </c>
      <c r="CD15" s="43">
        <v>1150.74</v>
      </c>
      <c r="CE15" s="43">
        <v>1150.74</v>
      </c>
      <c r="CF15" s="39">
        <f t="shared" si="9"/>
        <v>15448.879</v>
      </c>
      <c r="CG15" s="39">
        <f t="shared" si="10"/>
        <v>15126.787</v>
      </c>
      <c r="CH15" s="39"/>
      <c r="CI15" s="39"/>
      <c r="CJ15" s="39"/>
      <c r="CK15" s="43"/>
      <c r="CL15" s="43"/>
      <c r="CM15" s="45"/>
      <c r="CN15" s="45"/>
      <c r="CO15" s="45"/>
      <c r="CP15" s="43"/>
      <c r="CQ15" s="45"/>
      <c r="CR15" s="43"/>
      <c r="CS15" s="45"/>
      <c r="CT15" s="45"/>
      <c r="CU15" s="45"/>
      <c r="CV15" s="45"/>
      <c r="CW15" s="39"/>
      <c r="CX15" s="39"/>
      <c r="CY15" s="39"/>
      <c r="CZ15" s="39">
        <v>327.99</v>
      </c>
      <c r="DA15" s="39">
        <v>327.99</v>
      </c>
      <c r="DB15" s="39"/>
      <c r="DC15" s="39"/>
      <c r="DD15" s="43"/>
      <c r="DE15" s="43"/>
      <c r="DF15" s="39">
        <f t="shared" si="11"/>
        <v>327.99</v>
      </c>
      <c r="DG15" s="39">
        <f t="shared" si="12"/>
        <v>327.99</v>
      </c>
      <c r="DH15" s="39"/>
      <c r="DI15" s="39"/>
      <c r="DJ15" s="39">
        <v>0</v>
      </c>
      <c r="DK15" s="39">
        <f t="shared" si="13"/>
        <v>0</v>
      </c>
      <c r="DL15" s="39"/>
      <c r="DM15" s="39"/>
      <c r="DN15" s="39"/>
      <c r="DO15" s="39"/>
      <c r="DP15" s="39">
        <f t="shared" si="14"/>
        <v>0</v>
      </c>
      <c r="DQ15" s="39">
        <f t="shared" si="15"/>
        <v>0</v>
      </c>
      <c r="DR15" s="39"/>
      <c r="DS15" s="39"/>
      <c r="DT15" s="39"/>
      <c r="DU15" s="39"/>
      <c r="DV15" s="39"/>
      <c r="DW15" s="39"/>
      <c r="DX15" s="39"/>
      <c r="DY15" s="39"/>
      <c r="DZ15" s="43"/>
      <c r="EA15" s="43"/>
      <c r="EB15" s="45"/>
      <c r="EC15" s="45"/>
      <c r="ED15" s="39">
        <v>110</v>
      </c>
      <c r="EE15" s="39">
        <v>110</v>
      </c>
      <c r="EF15" s="39"/>
      <c r="EG15" s="45"/>
      <c r="EH15" s="43">
        <v>18431</v>
      </c>
      <c r="EI15" s="39">
        <v>18431</v>
      </c>
      <c r="EJ15" s="39"/>
      <c r="EK15" s="43"/>
      <c r="EL15" s="45"/>
      <c r="EM15" s="45"/>
      <c r="EN15" s="39">
        <v>370</v>
      </c>
      <c r="EO15" s="39">
        <v>370</v>
      </c>
      <c r="EP15" s="45"/>
      <c r="EQ15" s="45"/>
      <c r="ER15" s="37"/>
      <c r="ES15" s="37"/>
      <c r="ET15" s="135"/>
      <c r="EU15" s="135"/>
      <c r="EV15" s="37"/>
      <c r="EW15" s="37"/>
      <c r="EX15" s="37"/>
      <c r="EY15" s="37"/>
      <c r="EZ15" s="37"/>
      <c r="FA15" s="37"/>
      <c r="FB15" s="37">
        <f t="shared" si="16"/>
        <v>18911</v>
      </c>
      <c r="FC15" s="37">
        <f t="shared" si="17"/>
        <v>18911</v>
      </c>
      <c r="FD15" s="132"/>
      <c r="FE15" s="132"/>
      <c r="FF15" s="43"/>
      <c r="FG15" s="43"/>
      <c r="FH15" s="132">
        <f t="shared" si="18"/>
        <v>0</v>
      </c>
      <c r="FI15" s="132">
        <f t="shared" si="19"/>
        <v>0</v>
      </c>
      <c r="FJ15" s="39"/>
      <c r="FK15" s="39"/>
      <c r="FL15" s="39"/>
      <c r="FM15" s="39"/>
      <c r="FN15" s="39"/>
      <c r="FO15" s="39"/>
      <c r="FP15" s="39"/>
      <c r="FQ15" s="39"/>
      <c r="FR15" s="39">
        <v>16958.6</v>
      </c>
      <c r="FS15" s="39">
        <v>16958.6</v>
      </c>
      <c r="FT15" s="43">
        <v>9019</v>
      </c>
      <c r="FU15" s="43">
        <v>9019</v>
      </c>
      <c r="FV15" s="43">
        <v>2869</v>
      </c>
      <c r="FW15" s="43">
        <v>2869</v>
      </c>
      <c r="FX15" s="43"/>
      <c r="FY15" s="43"/>
      <c r="FZ15" s="43">
        <v>16198</v>
      </c>
      <c r="GA15" s="43">
        <v>16198</v>
      </c>
      <c r="GB15" s="43"/>
      <c r="GC15" s="43"/>
      <c r="GD15" s="39">
        <f>1309.1+65544.2</f>
        <v>66853.3</v>
      </c>
      <c r="GE15" s="39">
        <f>1309.1+65544.2</f>
        <v>66853.3</v>
      </c>
      <c r="GF15" s="43">
        <v>1475.9</v>
      </c>
      <c r="GG15" s="43">
        <v>1475.9</v>
      </c>
      <c r="GH15" s="43">
        <v>631.9</v>
      </c>
      <c r="GI15" s="43">
        <v>631.9</v>
      </c>
      <c r="GJ15" s="43">
        <v>289456</v>
      </c>
      <c r="GK15" s="43">
        <v>289456</v>
      </c>
      <c r="GL15" s="43">
        <v>400053</v>
      </c>
      <c r="GM15" s="43">
        <v>400053</v>
      </c>
      <c r="GN15" s="43">
        <v>1208.8</v>
      </c>
      <c r="GO15" s="43">
        <v>1208.8</v>
      </c>
      <c r="GP15" s="43">
        <v>35761.8</v>
      </c>
      <c r="GQ15" s="43">
        <v>35761.8</v>
      </c>
      <c r="GR15" s="43">
        <v>3214</v>
      </c>
      <c r="GS15" s="43">
        <v>2694</v>
      </c>
      <c r="GT15" s="43">
        <v>948.5</v>
      </c>
      <c r="GU15" s="43">
        <v>944.5</v>
      </c>
      <c r="GV15" s="43">
        <v>25895</v>
      </c>
      <c r="GW15" s="43">
        <v>25895</v>
      </c>
      <c r="GX15" s="45">
        <v>7892.8</v>
      </c>
      <c r="GY15" s="45">
        <v>7892.8</v>
      </c>
      <c r="GZ15" s="43">
        <v>100</v>
      </c>
      <c r="HA15" s="43">
        <v>100</v>
      </c>
      <c r="HB15" s="43">
        <v>703.8</v>
      </c>
      <c r="HC15" s="43">
        <v>703.8</v>
      </c>
      <c r="HD15" s="39">
        <f t="shared" si="20"/>
        <v>879239.4</v>
      </c>
      <c r="HE15" s="39">
        <f t="shared" si="21"/>
        <v>878715.4</v>
      </c>
      <c r="HF15" s="39"/>
      <c r="HG15" s="39"/>
      <c r="HH15" s="39">
        <v>47171.1</v>
      </c>
      <c r="HI15" s="43">
        <v>47171.1</v>
      </c>
      <c r="HJ15" s="43"/>
      <c r="HK15" s="43"/>
      <c r="HL15" s="136"/>
      <c r="HM15" s="136"/>
      <c r="HN15" s="126">
        <v>30000</v>
      </c>
      <c r="HO15" s="126">
        <v>30000</v>
      </c>
      <c r="HP15" s="39">
        <f t="shared" si="22"/>
        <v>77171.1</v>
      </c>
      <c r="HQ15" s="39">
        <f t="shared" si="23"/>
        <v>77171.1</v>
      </c>
      <c r="HR15" s="39"/>
      <c r="HS15" s="39"/>
      <c r="HT15" s="39">
        <v>960</v>
      </c>
      <c r="HU15" s="43">
        <v>920</v>
      </c>
      <c r="HV15" s="39">
        <v>9.652</v>
      </c>
      <c r="HW15" s="39">
        <v>9.652</v>
      </c>
      <c r="HX15" s="39">
        <f t="shared" si="24"/>
        <v>969.652</v>
      </c>
      <c r="HY15" s="39">
        <f t="shared" si="25"/>
        <v>929.652</v>
      </c>
    </row>
    <row r="16" spans="1:233" ht="12.75" customHeight="1">
      <c r="A16" s="12" t="s">
        <v>150</v>
      </c>
      <c r="B16" s="39">
        <f>16269+10846.2+13558+8134.8+13558+13558+13557+13558+13558+13557+10846.3+10846.4+10846.3</f>
        <v>162692.99999999997</v>
      </c>
      <c r="C16" s="39">
        <f>16269+10846.2+13558+8134.8+13558+13558+13557+13558+13558+13557+10846.3+10846.4+10846.3</f>
        <v>162692.99999999997</v>
      </c>
      <c r="D16" s="39">
        <f>2019+2019+2020+1683+1683+1683+1683+1683+1683+1346.3+1346.4+1346.3</f>
        <v>20195</v>
      </c>
      <c r="E16" s="39">
        <f>2019+2019+2020+1683+1683+1683+1683+1683+1683+1346.3+1346.4+1346.3</f>
        <v>20195</v>
      </c>
      <c r="F16" s="34"/>
      <c r="G16" s="34"/>
      <c r="H16" s="34"/>
      <c r="I16" s="34"/>
      <c r="J16" s="34"/>
      <c r="K16" s="34"/>
      <c r="L16" s="34"/>
      <c r="M16" s="34"/>
      <c r="N16" s="34"/>
      <c r="O16" s="34"/>
      <c r="P16" s="34"/>
      <c r="Q16" s="34"/>
      <c r="R16" s="39">
        <v>65</v>
      </c>
      <c r="S16" s="39">
        <f>65</f>
        <v>65</v>
      </c>
      <c r="T16" s="39">
        <v>4648.48236</v>
      </c>
      <c r="U16" s="39">
        <v>4648.48236</v>
      </c>
      <c r="V16" s="39"/>
      <c r="W16" s="34"/>
      <c r="X16" s="34"/>
      <c r="Y16" s="34"/>
      <c r="Z16" s="39">
        <v>9500</v>
      </c>
      <c r="AA16" s="39">
        <v>9500</v>
      </c>
      <c r="AB16" s="34"/>
      <c r="AC16" s="34"/>
      <c r="AD16" s="34"/>
      <c r="AE16" s="34"/>
      <c r="AF16" s="34"/>
      <c r="AG16" s="48"/>
      <c r="AH16" s="126">
        <f t="shared" si="5"/>
        <v>197101.48235999997</v>
      </c>
      <c r="AI16" s="126">
        <f t="shared" si="6"/>
        <v>197101.48235999997</v>
      </c>
      <c r="AJ16" s="43">
        <v>738</v>
      </c>
      <c r="AK16" s="43">
        <v>738</v>
      </c>
      <c r="AL16" s="134">
        <v>7952.9</v>
      </c>
      <c r="AM16" s="41">
        <f>6452.07666+1490.073</f>
        <v>7942.14966</v>
      </c>
      <c r="AN16" s="41"/>
      <c r="AO16" s="41"/>
      <c r="AP16" s="41"/>
      <c r="AQ16" s="41"/>
      <c r="AR16" s="39"/>
      <c r="AS16" s="39"/>
      <c r="AT16" s="43">
        <v>170</v>
      </c>
      <c r="AU16" s="43">
        <v>170</v>
      </c>
      <c r="AV16" s="43"/>
      <c r="AW16" s="43"/>
      <c r="AX16" s="43">
        <v>10128</v>
      </c>
      <c r="AY16" s="43">
        <v>10128</v>
      </c>
      <c r="AZ16" s="39">
        <f t="shared" si="7"/>
        <v>18988.9</v>
      </c>
      <c r="BA16" s="39">
        <f t="shared" si="8"/>
        <v>18978.14966</v>
      </c>
      <c r="BB16" s="39">
        <v>4574</v>
      </c>
      <c r="BC16" s="39">
        <v>4574</v>
      </c>
      <c r="BD16" s="39"/>
      <c r="BE16" s="43"/>
      <c r="BF16" s="45"/>
      <c r="BG16" s="45"/>
      <c r="BH16" s="43">
        <v>4295.1</v>
      </c>
      <c r="BI16" s="43">
        <v>4229.082</v>
      </c>
      <c r="BJ16" s="43">
        <v>18156</v>
      </c>
      <c r="BK16" s="43">
        <v>18156</v>
      </c>
      <c r="BL16" s="43"/>
      <c r="BM16" s="45"/>
      <c r="BN16" s="43">
        <v>920.592</v>
      </c>
      <c r="BO16" s="43">
        <v>920.592</v>
      </c>
      <c r="BP16" s="43"/>
      <c r="BQ16" s="43"/>
      <c r="BR16" s="43"/>
      <c r="BS16" s="43"/>
      <c r="BT16" s="43">
        <v>2209.423</v>
      </c>
      <c r="BU16" s="43">
        <v>2209.423</v>
      </c>
      <c r="BV16" s="43">
        <v>2845.76</v>
      </c>
      <c r="BW16" s="43">
        <v>2845.76</v>
      </c>
      <c r="BX16" s="43">
        <v>6076.51</v>
      </c>
      <c r="BY16" s="43">
        <v>4380.532</v>
      </c>
      <c r="BZ16" s="43"/>
      <c r="CA16" s="45"/>
      <c r="CB16" s="39">
        <v>2301.48</v>
      </c>
      <c r="CC16" s="39">
        <v>2301.48</v>
      </c>
      <c r="CD16" s="43">
        <v>1726.11</v>
      </c>
      <c r="CE16" s="43">
        <v>1726.11</v>
      </c>
      <c r="CF16" s="39">
        <f t="shared" si="9"/>
        <v>38530.975000000006</v>
      </c>
      <c r="CG16" s="39">
        <f t="shared" si="10"/>
        <v>36768.97900000001</v>
      </c>
      <c r="CH16" s="39">
        <v>11512.036820000001</v>
      </c>
      <c r="CI16" s="39">
        <v>11512.036820000001</v>
      </c>
      <c r="CJ16" s="39">
        <v>3286.99568</v>
      </c>
      <c r="CK16" s="43">
        <v>3286.99568</v>
      </c>
      <c r="CL16" s="43"/>
      <c r="CM16" s="45"/>
      <c r="CN16" s="45"/>
      <c r="CO16" s="45"/>
      <c r="CP16" s="43">
        <v>21939.04</v>
      </c>
      <c r="CQ16" s="43">
        <v>21939.04</v>
      </c>
      <c r="CR16" s="43">
        <v>12986.83</v>
      </c>
      <c r="CS16" s="43">
        <v>12986.83</v>
      </c>
      <c r="CT16" s="43"/>
      <c r="CU16" s="45"/>
      <c r="CV16" s="45"/>
      <c r="CW16" s="39"/>
      <c r="CX16" s="39"/>
      <c r="CY16" s="39"/>
      <c r="CZ16" s="39">
        <v>527.629</v>
      </c>
      <c r="DA16" s="39">
        <v>527.629</v>
      </c>
      <c r="DB16" s="39"/>
      <c r="DC16" s="39"/>
      <c r="DD16" s="43">
        <v>2090</v>
      </c>
      <c r="DE16" s="43">
        <v>2090</v>
      </c>
      <c r="DF16" s="39">
        <f t="shared" si="11"/>
        <v>52342.531500000005</v>
      </c>
      <c r="DG16" s="39">
        <f t="shared" si="12"/>
        <v>52342.531500000005</v>
      </c>
      <c r="DH16" s="39">
        <v>5091.04</v>
      </c>
      <c r="DI16" s="39">
        <v>5091.04</v>
      </c>
      <c r="DJ16" s="39">
        <v>5091.04</v>
      </c>
      <c r="DK16" s="39">
        <f t="shared" si="13"/>
        <v>5091.04</v>
      </c>
      <c r="DL16" s="39"/>
      <c r="DM16" s="39"/>
      <c r="DN16" s="39"/>
      <c r="DO16" s="39"/>
      <c r="DP16" s="39">
        <f t="shared" si="14"/>
        <v>0</v>
      </c>
      <c r="DQ16" s="39">
        <f t="shared" si="15"/>
        <v>0</v>
      </c>
      <c r="DR16" s="39"/>
      <c r="DS16" s="39"/>
      <c r="DT16" s="39"/>
      <c r="DU16" s="39"/>
      <c r="DV16" s="39"/>
      <c r="DW16" s="39"/>
      <c r="DX16" s="39"/>
      <c r="DY16" s="39"/>
      <c r="DZ16" s="43"/>
      <c r="EA16" s="43"/>
      <c r="EB16" s="45"/>
      <c r="EC16" s="45"/>
      <c r="ED16" s="39">
        <v>160</v>
      </c>
      <c r="EE16" s="39">
        <v>160</v>
      </c>
      <c r="EF16" s="39"/>
      <c r="EG16" s="45"/>
      <c r="EH16" s="43">
        <v>20696</v>
      </c>
      <c r="EI16" s="39">
        <v>20696</v>
      </c>
      <c r="EJ16" s="39">
        <v>314.5</v>
      </c>
      <c r="EK16" s="43">
        <v>314.5</v>
      </c>
      <c r="EL16" s="45"/>
      <c r="EM16" s="45"/>
      <c r="EN16" s="39"/>
      <c r="EO16" s="39"/>
      <c r="EP16" s="45"/>
      <c r="EQ16" s="45"/>
      <c r="ER16" s="37">
        <v>30000</v>
      </c>
      <c r="ES16" s="37">
        <v>30000</v>
      </c>
      <c r="ET16" s="135"/>
      <c r="EU16" s="135"/>
      <c r="EV16" s="37"/>
      <c r="EW16" s="37"/>
      <c r="EX16" s="37"/>
      <c r="EY16" s="37"/>
      <c r="EZ16" s="37"/>
      <c r="FA16" s="37"/>
      <c r="FB16" s="37">
        <f t="shared" si="16"/>
        <v>51170.5</v>
      </c>
      <c r="FC16" s="37">
        <f t="shared" si="17"/>
        <v>51170.5</v>
      </c>
      <c r="FD16" s="132">
        <v>30.1</v>
      </c>
      <c r="FE16" s="132">
        <v>30.1</v>
      </c>
      <c r="FF16" s="43">
        <v>1.58</v>
      </c>
      <c r="FG16" s="43">
        <v>1.58</v>
      </c>
      <c r="FH16" s="132">
        <f t="shared" si="18"/>
        <v>31.68</v>
      </c>
      <c r="FI16" s="132">
        <f t="shared" si="19"/>
        <v>31.68</v>
      </c>
      <c r="FJ16" s="39"/>
      <c r="FK16" s="39"/>
      <c r="FL16" s="39"/>
      <c r="FM16" s="39"/>
      <c r="FN16" s="39"/>
      <c r="FO16" s="39"/>
      <c r="FP16" s="39"/>
      <c r="FQ16" s="39"/>
      <c r="FR16" s="39">
        <v>25227.2</v>
      </c>
      <c r="FS16" s="39">
        <v>25227.159</v>
      </c>
      <c r="FT16" s="43">
        <v>9775</v>
      </c>
      <c r="FU16" s="43">
        <v>9775</v>
      </c>
      <c r="FV16" s="43">
        <v>7909</v>
      </c>
      <c r="FW16" s="43">
        <v>7909</v>
      </c>
      <c r="FX16" s="43">
        <v>3962</v>
      </c>
      <c r="FY16" s="43">
        <v>3962</v>
      </c>
      <c r="FZ16" s="43">
        <v>13702</v>
      </c>
      <c r="GA16" s="43">
        <v>13702</v>
      </c>
      <c r="GB16" s="43"/>
      <c r="GC16" s="43"/>
      <c r="GD16" s="39">
        <v>55133.05</v>
      </c>
      <c r="GE16" s="39">
        <v>55133.05</v>
      </c>
      <c r="GF16" s="43">
        <v>2951.8</v>
      </c>
      <c r="GG16" s="43">
        <v>2951.8</v>
      </c>
      <c r="GH16" s="43">
        <v>1263.8</v>
      </c>
      <c r="GI16" s="43">
        <v>1263.8</v>
      </c>
      <c r="GJ16" s="43">
        <v>204826</v>
      </c>
      <c r="GK16" s="43">
        <v>204826</v>
      </c>
      <c r="GL16" s="43">
        <v>296356.5</v>
      </c>
      <c r="GM16" s="43">
        <v>296356.5</v>
      </c>
      <c r="GN16" s="43"/>
      <c r="GO16" s="43"/>
      <c r="GP16" s="43">
        <v>24399</v>
      </c>
      <c r="GQ16" s="43">
        <v>24399</v>
      </c>
      <c r="GR16" s="43">
        <v>2771</v>
      </c>
      <c r="GS16" s="43">
        <v>2771</v>
      </c>
      <c r="GT16" s="43">
        <v>1160</v>
      </c>
      <c r="GU16" s="43">
        <v>1160</v>
      </c>
      <c r="GV16" s="43">
        <v>47665</v>
      </c>
      <c r="GW16" s="43">
        <v>47665</v>
      </c>
      <c r="GX16" s="45">
        <v>14625.8</v>
      </c>
      <c r="GY16" s="45">
        <v>14625.8</v>
      </c>
      <c r="GZ16" s="43">
        <v>100</v>
      </c>
      <c r="HA16" s="43">
        <v>100</v>
      </c>
      <c r="HB16" s="43">
        <v>415.5</v>
      </c>
      <c r="HC16" s="43">
        <v>415.5</v>
      </c>
      <c r="HD16" s="39">
        <f t="shared" si="20"/>
        <v>712242.65</v>
      </c>
      <c r="HE16" s="39">
        <f t="shared" si="21"/>
        <v>712242.609</v>
      </c>
      <c r="HF16" s="39">
        <v>114</v>
      </c>
      <c r="HG16" s="39">
        <v>114</v>
      </c>
      <c r="HH16" s="39"/>
      <c r="HI16" s="43"/>
      <c r="HJ16" s="43"/>
      <c r="HK16" s="43"/>
      <c r="HL16" s="136"/>
      <c r="HM16" s="136"/>
      <c r="HN16" s="136"/>
      <c r="HO16" s="136"/>
      <c r="HP16" s="39">
        <f t="shared" si="22"/>
        <v>114</v>
      </c>
      <c r="HQ16" s="39">
        <f t="shared" si="23"/>
        <v>114</v>
      </c>
      <c r="HR16" s="39">
        <v>560</v>
      </c>
      <c r="HS16" s="39">
        <v>560</v>
      </c>
      <c r="HT16" s="39">
        <v>789</v>
      </c>
      <c r="HU16" s="43">
        <v>786.16</v>
      </c>
      <c r="HV16" s="39"/>
      <c r="HW16" s="39"/>
      <c r="HX16" s="39">
        <f t="shared" si="24"/>
        <v>1349</v>
      </c>
      <c r="HY16" s="39">
        <f t="shared" si="25"/>
        <v>1346.1599999999999</v>
      </c>
    </row>
    <row r="17" spans="1:233" ht="12.75">
      <c r="A17" s="12" t="s">
        <v>149</v>
      </c>
      <c r="B17" s="39">
        <f>4750+3167+3959+2375+3959+3959+3958+3959+3959+3958+3167+3167+3167</f>
        <v>47504</v>
      </c>
      <c r="C17" s="39">
        <f>4750+3167+3959+2375+3959+3959+3958+3959+3959+3958+3167+3167+3167</f>
        <v>47504</v>
      </c>
      <c r="D17" s="39">
        <f>385+385+384+321+321+320+321+321+320+256.7+256.7+256.6</f>
        <v>3847.9999999999995</v>
      </c>
      <c r="E17" s="39">
        <f>385+385+384+321+321+320+321+321+320+256.7+256.7+256.6</f>
        <v>3847.9999999999995</v>
      </c>
      <c r="F17" s="34"/>
      <c r="G17" s="34"/>
      <c r="H17" s="39">
        <f>67265+80718+67265+53813</f>
        <v>269061</v>
      </c>
      <c r="I17" s="39">
        <f>67265+80718+67265+53813</f>
        <v>269061</v>
      </c>
      <c r="J17" s="34"/>
      <c r="K17" s="34"/>
      <c r="L17" s="34"/>
      <c r="M17" s="34"/>
      <c r="N17" s="34"/>
      <c r="O17" s="34"/>
      <c r="P17" s="34"/>
      <c r="Q17" s="34"/>
      <c r="R17" s="39">
        <v>1510</v>
      </c>
      <c r="S17" s="39">
        <f>1508.04745</f>
        <v>1508.04745</v>
      </c>
      <c r="T17" s="39">
        <v>1511.70556</v>
      </c>
      <c r="U17" s="39">
        <f>511.70556+1000</f>
        <v>1511.7055599999999</v>
      </c>
      <c r="V17" s="39"/>
      <c r="W17" s="34"/>
      <c r="X17" s="34"/>
      <c r="Y17" s="34"/>
      <c r="Z17" s="34"/>
      <c r="AA17" s="34"/>
      <c r="AB17" s="39">
        <v>9243</v>
      </c>
      <c r="AC17" s="39">
        <v>9243</v>
      </c>
      <c r="AD17" s="34"/>
      <c r="AE17" s="34"/>
      <c r="AF17" s="34"/>
      <c r="AG17" s="48"/>
      <c r="AH17" s="126">
        <f t="shared" si="5"/>
        <v>332677.70556</v>
      </c>
      <c r="AI17" s="126">
        <f t="shared" si="6"/>
        <v>332675.75301</v>
      </c>
      <c r="AJ17" s="43">
        <v>344</v>
      </c>
      <c r="AK17" s="43">
        <v>344</v>
      </c>
      <c r="AL17" s="134">
        <v>0</v>
      </c>
      <c r="AM17" s="41">
        <v>0</v>
      </c>
      <c r="AN17" s="41"/>
      <c r="AO17" s="41"/>
      <c r="AP17" s="41"/>
      <c r="AQ17" s="41"/>
      <c r="AR17" s="39"/>
      <c r="AS17" s="39"/>
      <c r="AT17" s="43">
        <v>10</v>
      </c>
      <c r="AU17" s="43">
        <v>10</v>
      </c>
      <c r="AV17" s="43"/>
      <c r="AW17" s="43"/>
      <c r="AX17" s="43"/>
      <c r="AY17" s="43"/>
      <c r="AZ17" s="39">
        <f t="shared" si="7"/>
        <v>354</v>
      </c>
      <c r="BA17" s="39">
        <f t="shared" si="8"/>
        <v>354</v>
      </c>
      <c r="BB17" s="39">
        <v>1220</v>
      </c>
      <c r="BC17" s="39">
        <v>1220</v>
      </c>
      <c r="BD17" s="39">
        <v>1433</v>
      </c>
      <c r="BE17" s="43">
        <v>1035</v>
      </c>
      <c r="BF17" s="45"/>
      <c r="BG17" s="45"/>
      <c r="BH17" s="43">
        <v>72953</v>
      </c>
      <c r="BI17" s="43">
        <v>70998</v>
      </c>
      <c r="BJ17" s="43"/>
      <c r="BK17" s="43"/>
      <c r="BL17" s="43"/>
      <c r="BM17" s="45"/>
      <c r="BN17" s="43">
        <v>0</v>
      </c>
      <c r="BO17" s="43">
        <v>0</v>
      </c>
      <c r="BP17" s="43">
        <v>4480</v>
      </c>
      <c r="BQ17" s="43">
        <v>4480</v>
      </c>
      <c r="BR17" s="43"/>
      <c r="BS17" s="43"/>
      <c r="BT17" s="43">
        <v>181.2</v>
      </c>
      <c r="BU17" s="43">
        <v>181.2</v>
      </c>
      <c r="BV17" s="43">
        <v>210.6</v>
      </c>
      <c r="BW17" s="43">
        <v>210.6</v>
      </c>
      <c r="BX17" s="43">
        <v>0</v>
      </c>
      <c r="BY17" s="43">
        <v>0</v>
      </c>
      <c r="BZ17" s="43"/>
      <c r="CA17" s="43"/>
      <c r="CB17" s="39"/>
      <c r="CC17" s="39"/>
      <c r="CD17" s="43">
        <v>575.37</v>
      </c>
      <c r="CE17" s="43">
        <v>575.37</v>
      </c>
      <c r="CF17" s="39">
        <f t="shared" si="9"/>
        <v>79833.17</v>
      </c>
      <c r="CG17" s="39">
        <f t="shared" si="10"/>
        <v>77480.17</v>
      </c>
      <c r="CH17" s="39"/>
      <c r="CI17" s="39"/>
      <c r="CJ17" s="39"/>
      <c r="CK17" s="43"/>
      <c r="CL17" s="43"/>
      <c r="CM17" s="45"/>
      <c r="CN17" s="45"/>
      <c r="CO17" s="45"/>
      <c r="CP17" s="43"/>
      <c r="CQ17" s="45"/>
      <c r="CR17" s="43"/>
      <c r="CS17" s="45"/>
      <c r="CT17" s="45"/>
      <c r="CU17" s="45"/>
      <c r="CV17" s="45"/>
      <c r="CW17" s="39"/>
      <c r="CX17" s="39"/>
      <c r="CY17" s="39"/>
      <c r="CZ17" s="39">
        <v>299.465</v>
      </c>
      <c r="DA17" s="39">
        <v>299.465</v>
      </c>
      <c r="DB17" s="39"/>
      <c r="DC17" s="39"/>
      <c r="DD17" s="43"/>
      <c r="DE17" s="43"/>
      <c r="DF17" s="39">
        <f t="shared" si="11"/>
        <v>299.465</v>
      </c>
      <c r="DG17" s="39">
        <f t="shared" si="12"/>
        <v>299.465</v>
      </c>
      <c r="DH17" s="39">
        <v>236.9</v>
      </c>
      <c r="DI17" s="39">
        <v>236.9</v>
      </c>
      <c r="DJ17" s="39">
        <v>236.9</v>
      </c>
      <c r="DK17" s="39">
        <f t="shared" si="13"/>
        <v>236.9</v>
      </c>
      <c r="DL17" s="39"/>
      <c r="DM17" s="39"/>
      <c r="DN17" s="39"/>
      <c r="DO17" s="39"/>
      <c r="DP17" s="39">
        <f t="shared" si="14"/>
        <v>0</v>
      </c>
      <c r="DQ17" s="39">
        <f t="shared" si="15"/>
        <v>0</v>
      </c>
      <c r="DR17" s="39"/>
      <c r="DS17" s="39"/>
      <c r="DT17" s="39"/>
      <c r="DU17" s="39"/>
      <c r="DV17" s="39"/>
      <c r="DW17" s="39"/>
      <c r="DX17" s="39"/>
      <c r="DY17" s="39"/>
      <c r="DZ17" s="43">
        <v>350</v>
      </c>
      <c r="EA17" s="43">
        <v>350</v>
      </c>
      <c r="EB17" s="45"/>
      <c r="EC17" s="45"/>
      <c r="ED17" s="39">
        <v>15</v>
      </c>
      <c r="EE17" s="39">
        <v>15</v>
      </c>
      <c r="EF17" s="39"/>
      <c r="EG17" s="45"/>
      <c r="EH17" s="43">
        <v>3919</v>
      </c>
      <c r="EI17" s="39">
        <v>3919</v>
      </c>
      <c r="EJ17" s="39">
        <v>11</v>
      </c>
      <c r="EK17" s="43">
        <v>11</v>
      </c>
      <c r="EL17" s="45"/>
      <c r="EM17" s="45"/>
      <c r="EN17" s="39"/>
      <c r="EO17" s="39"/>
      <c r="EP17" s="45"/>
      <c r="EQ17" s="45"/>
      <c r="ER17" s="37"/>
      <c r="ES17" s="37"/>
      <c r="ET17" s="135"/>
      <c r="EU17" s="135"/>
      <c r="EV17" s="37"/>
      <c r="EW17" s="37"/>
      <c r="EX17" s="37"/>
      <c r="EY17" s="37"/>
      <c r="EZ17" s="37"/>
      <c r="FA17" s="37"/>
      <c r="FB17" s="37">
        <f t="shared" si="16"/>
        <v>4295</v>
      </c>
      <c r="FC17" s="37">
        <f t="shared" si="17"/>
        <v>4295</v>
      </c>
      <c r="FD17" s="132"/>
      <c r="FE17" s="132"/>
      <c r="FF17" s="43"/>
      <c r="FG17" s="43"/>
      <c r="FH17" s="132">
        <f t="shared" si="18"/>
        <v>0</v>
      </c>
      <c r="FI17" s="132">
        <f t="shared" si="19"/>
        <v>0</v>
      </c>
      <c r="FJ17" s="39"/>
      <c r="FK17" s="39"/>
      <c r="FL17" s="39">
        <v>165</v>
      </c>
      <c r="FM17" s="39">
        <v>165</v>
      </c>
      <c r="FN17" s="39"/>
      <c r="FO17" s="45"/>
      <c r="FP17" s="39"/>
      <c r="FQ17" s="39"/>
      <c r="FR17" s="39"/>
      <c r="FS17" s="39"/>
      <c r="FT17" s="43">
        <v>755</v>
      </c>
      <c r="FU17" s="43">
        <v>755</v>
      </c>
      <c r="FV17" s="43">
        <v>846</v>
      </c>
      <c r="FW17" s="43">
        <v>846</v>
      </c>
      <c r="FX17" s="43">
        <v>70</v>
      </c>
      <c r="FY17" s="43">
        <v>70</v>
      </c>
      <c r="FZ17" s="43">
        <v>2354</v>
      </c>
      <c r="GA17" s="43">
        <v>2354</v>
      </c>
      <c r="GB17" s="43"/>
      <c r="GC17" s="43"/>
      <c r="GD17" s="39"/>
      <c r="GE17" s="39"/>
      <c r="GF17" s="43">
        <v>1475.9</v>
      </c>
      <c r="GG17" s="43">
        <v>1475.9</v>
      </c>
      <c r="GH17" s="43">
        <v>631.9</v>
      </c>
      <c r="GI17" s="43">
        <v>631.9</v>
      </c>
      <c r="GJ17" s="43">
        <v>46522</v>
      </c>
      <c r="GK17" s="43">
        <v>46522</v>
      </c>
      <c r="GL17" s="43">
        <v>60979</v>
      </c>
      <c r="GM17" s="43">
        <v>60979</v>
      </c>
      <c r="GN17" s="43"/>
      <c r="GO17" s="43"/>
      <c r="GP17" s="43">
        <v>4420.5</v>
      </c>
      <c r="GQ17" s="43">
        <v>4420.5</v>
      </c>
      <c r="GR17" s="43">
        <v>860</v>
      </c>
      <c r="GS17" s="43">
        <v>860</v>
      </c>
      <c r="GT17" s="43">
        <v>223</v>
      </c>
      <c r="GU17" s="43">
        <v>223</v>
      </c>
      <c r="GV17" s="43">
        <v>7004</v>
      </c>
      <c r="GW17" s="43">
        <v>7004</v>
      </c>
      <c r="GX17" s="45">
        <v>6744.8</v>
      </c>
      <c r="GY17" s="45">
        <v>6744.8</v>
      </c>
      <c r="GZ17" s="43">
        <v>50</v>
      </c>
      <c r="HA17" s="43">
        <v>50</v>
      </c>
      <c r="HB17" s="43"/>
      <c r="HC17" s="43"/>
      <c r="HD17" s="39">
        <f t="shared" si="20"/>
        <v>133101.1</v>
      </c>
      <c r="HE17" s="39">
        <f t="shared" si="21"/>
        <v>133101.1</v>
      </c>
      <c r="HF17" s="39">
        <v>256.5</v>
      </c>
      <c r="HG17" s="39">
        <v>256.5</v>
      </c>
      <c r="HH17" s="39"/>
      <c r="HI17" s="43"/>
      <c r="HJ17" s="43">
        <v>42.8</v>
      </c>
      <c r="HK17" s="43">
        <v>42.8</v>
      </c>
      <c r="HL17" s="45"/>
      <c r="HM17" s="45"/>
      <c r="HN17" s="136"/>
      <c r="HO17" s="136"/>
      <c r="HP17" s="39">
        <f t="shared" si="22"/>
        <v>299.3</v>
      </c>
      <c r="HQ17" s="39">
        <f t="shared" si="23"/>
        <v>299.3</v>
      </c>
      <c r="HR17" s="39"/>
      <c r="HS17" s="39"/>
      <c r="HT17" s="39">
        <v>339</v>
      </c>
      <c r="HU17" s="43">
        <v>339</v>
      </c>
      <c r="HV17" s="39">
        <v>4.081</v>
      </c>
      <c r="HW17" s="39">
        <v>4.081</v>
      </c>
      <c r="HX17" s="39">
        <f t="shared" si="24"/>
        <v>343.081</v>
      </c>
      <c r="HY17" s="39">
        <f t="shared" si="25"/>
        <v>343.081</v>
      </c>
    </row>
    <row r="18" spans="1:233" ht="25.5">
      <c r="A18" s="25" t="s">
        <v>394</v>
      </c>
      <c r="B18" s="39"/>
      <c r="C18" s="39"/>
      <c r="D18" s="39"/>
      <c r="E18" s="39"/>
      <c r="F18" s="34"/>
      <c r="G18" s="34"/>
      <c r="H18" s="39"/>
      <c r="I18" s="39"/>
      <c r="J18" s="34"/>
      <c r="K18" s="34"/>
      <c r="L18" s="34"/>
      <c r="M18" s="34"/>
      <c r="N18" s="34"/>
      <c r="O18" s="34"/>
      <c r="P18" s="34"/>
      <c r="Q18" s="34"/>
      <c r="R18" s="39"/>
      <c r="S18" s="39"/>
      <c r="T18" s="39"/>
      <c r="U18" s="39"/>
      <c r="V18" s="39"/>
      <c r="W18" s="34"/>
      <c r="X18" s="34"/>
      <c r="Y18" s="34"/>
      <c r="Z18" s="34"/>
      <c r="AA18" s="34"/>
      <c r="AB18" s="34"/>
      <c r="AC18" s="34"/>
      <c r="AD18" s="34"/>
      <c r="AE18" s="34"/>
      <c r="AF18" s="34"/>
      <c r="AG18" s="48"/>
      <c r="AH18" s="126"/>
      <c r="AI18" s="126"/>
      <c r="AJ18" s="43"/>
      <c r="AK18" s="43"/>
      <c r="AL18" s="134"/>
      <c r="AM18" s="41"/>
      <c r="AN18" s="41"/>
      <c r="AO18" s="41"/>
      <c r="AP18" s="41"/>
      <c r="AQ18" s="41"/>
      <c r="AR18" s="39"/>
      <c r="AS18" s="39"/>
      <c r="AT18" s="43"/>
      <c r="AU18" s="43"/>
      <c r="AV18" s="43"/>
      <c r="AW18" s="43"/>
      <c r="AX18" s="43"/>
      <c r="AY18" s="43"/>
      <c r="AZ18" s="39"/>
      <c r="BA18" s="39"/>
      <c r="BB18" s="39"/>
      <c r="BC18" s="39"/>
      <c r="BD18" s="39"/>
      <c r="BE18" s="43"/>
      <c r="BF18" s="45"/>
      <c r="BG18" s="45"/>
      <c r="BH18" s="43"/>
      <c r="BI18" s="43"/>
      <c r="BJ18" s="43"/>
      <c r="BK18" s="43"/>
      <c r="BL18" s="43"/>
      <c r="BM18" s="45"/>
      <c r="BN18" s="43"/>
      <c r="BO18" s="43"/>
      <c r="BP18" s="43"/>
      <c r="BQ18" s="43"/>
      <c r="BR18" s="43"/>
      <c r="BS18" s="43"/>
      <c r="BT18" s="43"/>
      <c r="BU18" s="43"/>
      <c r="BV18" s="43"/>
      <c r="BW18" s="43"/>
      <c r="BX18" s="43"/>
      <c r="BY18" s="43"/>
      <c r="BZ18" s="43"/>
      <c r="CA18" s="43"/>
      <c r="CB18" s="39"/>
      <c r="CC18" s="39"/>
      <c r="CD18" s="43"/>
      <c r="CE18" s="43"/>
      <c r="CF18" s="39"/>
      <c r="CG18" s="39"/>
      <c r="CH18" s="39"/>
      <c r="CI18" s="39"/>
      <c r="CJ18" s="39"/>
      <c r="CK18" s="43"/>
      <c r="CL18" s="43"/>
      <c r="CM18" s="45"/>
      <c r="CN18" s="45"/>
      <c r="CO18" s="45"/>
      <c r="CP18" s="43"/>
      <c r="CQ18" s="45"/>
      <c r="CR18" s="43"/>
      <c r="CS18" s="45"/>
      <c r="CT18" s="45"/>
      <c r="CU18" s="45"/>
      <c r="CV18" s="45"/>
      <c r="CW18" s="39"/>
      <c r="CX18" s="39"/>
      <c r="CY18" s="39"/>
      <c r="CZ18" s="39"/>
      <c r="DA18" s="39"/>
      <c r="DB18" s="39"/>
      <c r="DC18" s="39"/>
      <c r="DD18" s="43"/>
      <c r="DE18" s="43"/>
      <c r="DF18" s="39"/>
      <c r="DG18" s="39"/>
      <c r="DH18" s="39"/>
      <c r="DI18" s="39"/>
      <c r="DJ18" s="39"/>
      <c r="DK18" s="39"/>
      <c r="DL18" s="39"/>
      <c r="DM18" s="39"/>
      <c r="DN18" s="39"/>
      <c r="DO18" s="39"/>
      <c r="DP18" s="39"/>
      <c r="DQ18" s="39"/>
      <c r="DR18" s="39"/>
      <c r="DS18" s="39"/>
      <c r="DT18" s="39"/>
      <c r="DU18" s="39"/>
      <c r="DV18" s="39"/>
      <c r="DW18" s="39"/>
      <c r="DX18" s="39"/>
      <c r="DY18" s="39"/>
      <c r="DZ18" s="43"/>
      <c r="EA18" s="43"/>
      <c r="EB18" s="45"/>
      <c r="EC18" s="45"/>
      <c r="ED18" s="39"/>
      <c r="EE18" s="39"/>
      <c r="EF18" s="39"/>
      <c r="EG18" s="45"/>
      <c r="EH18" s="43"/>
      <c r="EI18" s="39"/>
      <c r="EJ18" s="39"/>
      <c r="EK18" s="43"/>
      <c r="EL18" s="45"/>
      <c r="EM18" s="45"/>
      <c r="EN18" s="39"/>
      <c r="EO18" s="39"/>
      <c r="EP18" s="45"/>
      <c r="EQ18" s="45"/>
      <c r="ER18" s="37"/>
      <c r="ES18" s="37"/>
      <c r="ET18" s="135"/>
      <c r="EU18" s="135"/>
      <c r="EV18" s="37"/>
      <c r="EW18" s="37"/>
      <c r="EX18" s="37"/>
      <c r="EY18" s="37"/>
      <c r="EZ18" s="37"/>
      <c r="FA18" s="37"/>
      <c r="FB18" s="37"/>
      <c r="FC18" s="37"/>
      <c r="FD18" s="132"/>
      <c r="FE18" s="132"/>
      <c r="FF18" s="43"/>
      <c r="FG18" s="43"/>
      <c r="FH18" s="132"/>
      <c r="FI18" s="132"/>
      <c r="FJ18" s="39"/>
      <c r="FK18" s="39"/>
      <c r="FL18" s="39"/>
      <c r="FM18" s="39"/>
      <c r="FN18" s="39"/>
      <c r="FO18" s="45"/>
      <c r="FP18" s="39"/>
      <c r="FQ18" s="39"/>
      <c r="FR18" s="39"/>
      <c r="FS18" s="39"/>
      <c r="FT18" s="43"/>
      <c r="FU18" s="43"/>
      <c r="FV18" s="43"/>
      <c r="FW18" s="43"/>
      <c r="FX18" s="43"/>
      <c r="FY18" s="43"/>
      <c r="FZ18" s="43"/>
      <c r="GA18" s="43"/>
      <c r="GB18" s="43"/>
      <c r="GC18" s="43"/>
      <c r="GD18" s="39"/>
      <c r="GE18" s="39"/>
      <c r="GF18" s="43"/>
      <c r="GG18" s="43"/>
      <c r="GH18" s="43"/>
      <c r="GI18" s="43"/>
      <c r="GJ18" s="43"/>
      <c r="GK18" s="43"/>
      <c r="GL18" s="43"/>
      <c r="GM18" s="43"/>
      <c r="GN18" s="43"/>
      <c r="GO18" s="43"/>
      <c r="GP18" s="43"/>
      <c r="GQ18" s="43"/>
      <c r="GR18" s="43"/>
      <c r="GS18" s="43"/>
      <c r="GT18" s="43"/>
      <c r="GU18" s="43"/>
      <c r="GV18" s="43"/>
      <c r="GW18" s="43"/>
      <c r="GX18" s="45"/>
      <c r="GY18" s="45"/>
      <c r="GZ18" s="43"/>
      <c r="HA18" s="43"/>
      <c r="HB18" s="43"/>
      <c r="HC18" s="43"/>
      <c r="HD18" s="39"/>
      <c r="HE18" s="39"/>
      <c r="HF18" s="39"/>
      <c r="HG18" s="39"/>
      <c r="HH18" s="39"/>
      <c r="HI18" s="43"/>
      <c r="HJ18" s="43"/>
      <c r="HK18" s="43"/>
      <c r="HL18" s="45"/>
      <c r="HM18" s="45"/>
      <c r="HN18" s="136"/>
      <c r="HO18" s="136"/>
      <c r="HP18" s="39"/>
      <c r="HQ18" s="39"/>
      <c r="HR18" s="39"/>
      <c r="HS18" s="39"/>
      <c r="HT18" s="39"/>
      <c r="HU18" s="43"/>
      <c r="HV18" s="39"/>
      <c r="HW18" s="39"/>
      <c r="HX18" s="39"/>
      <c r="HY18" s="39"/>
    </row>
    <row r="19" spans="1:233" ht="12.75">
      <c r="A19" s="13" t="s">
        <v>148</v>
      </c>
      <c r="B19" s="39">
        <f>SUM(B20:B28)</f>
        <v>0</v>
      </c>
      <c r="C19" s="39">
        <f aca="true" t="shared" si="26" ref="C19:BN19">SUM(C20:C28)</f>
        <v>0</v>
      </c>
      <c r="D19" s="39">
        <f t="shared" si="26"/>
        <v>32350</v>
      </c>
      <c r="E19" s="39">
        <f t="shared" si="26"/>
        <v>32350</v>
      </c>
      <c r="F19" s="39">
        <f t="shared" si="26"/>
        <v>71664</v>
      </c>
      <c r="G19" s="39">
        <f t="shared" si="26"/>
        <v>71664</v>
      </c>
      <c r="H19" s="39">
        <f t="shared" si="26"/>
        <v>0</v>
      </c>
      <c r="I19" s="39">
        <f t="shared" si="26"/>
        <v>0</v>
      </c>
      <c r="J19" s="39">
        <f t="shared" si="26"/>
        <v>0</v>
      </c>
      <c r="K19" s="39">
        <f t="shared" si="26"/>
        <v>0</v>
      </c>
      <c r="L19" s="39">
        <f t="shared" si="26"/>
        <v>0</v>
      </c>
      <c r="M19" s="39">
        <f t="shared" si="26"/>
        <v>0</v>
      </c>
      <c r="N19" s="39">
        <f t="shared" si="26"/>
        <v>0</v>
      </c>
      <c r="O19" s="39">
        <f t="shared" si="26"/>
        <v>0</v>
      </c>
      <c r="P19" s="39">
        <f t="shared" si="26"/>
        <v>0</v>
      </c>
      <c r="Q19" s="39">
        <f t="shared" si="26"/>
        <v>0</v>
      </c>
      <c r="R19" s="39">
        <f t="shared" si="26"/>
        <v>2995</v>
      </c>
      <c r="S19" s="39">
        <f t="shared" si="26"/>
        <v>953.4767800000001</v>
      </c>
      <c r="T19" s="39">
        <f t="shared" si="26"/>
        <v>22552.62125</v>
      </c>
      <c r="U19" s="39">
        <f t="shared" si="26"/>
        <v>22552.62125</v>
      </c>
      <c r="V19" s="39">
        <f t="shared" si="26"/>
        <v>279.75</v>
      </c>
      <c r="W19" s="39">
        <f t="shared" si="26"/>
        <v>279.75</v>
      </c>
      <c r="X19" s="39">
        <f t="shared" si="26"/>
        <v>0</v>
      </c>
      <c r="Y19" s="39">
        <f t="shared" si="26"/>
        <v>0</v>
      </c>
      <c r="Z19" s="39">
        <f t="shared" si="26"/>
        <v>0</v>
      </c>
      <c r="AA19" s="39">
        <f t="shared" si="26"/>
        <v>0</v>
      </c>
      <c r="AB19" s="39">
        <f t="shared" si="26"/>
        <v>0</v>
      </c>
      <c r="AC19" s="39">
        <f t="shared" si="26"/>
        <v>0</v>
      </c>
      <c r="AD19" s="39">
        <f t="shared" si="26"/>
        <v>0</v>
      </c>
      <c r="AE19" s="39">
        <f t="shared" si="26"/>
        <v>0</v>
      </c>
      <c r="AF19" s="39">
        <f t="shared" si="26"/>
        <v>1685</v>
      </c>
      <c r="AG19" s="39">
        <f t="shared" si="26"/>
        <v>1660.80961</v>
      </c>
      <c r="AH19" s="39">
        <f t="shared" si="26"/>
        <v>131526.37125</v>
      </c>
      <c r="AI19" s="39">
        <f t="shared" si="26"/>
        <v>129460.65763999999</v>
      </c>
      <c r="AJ19" s="39">
        <f t="shared" si="26"/>
        <v>967.5</v>
      </c>
      <c r="AK19" s="39">
        <f t="shared" si="26"/>
        <v>967.5</v>
      </c>
      <c r="AL19" s="39">
        <f t="shared" si="26"/>
        <v>0</v>
      </c>
      <c r="AM19" s="39">
        <f t="shared" si="26"/>
        <v>0</v>
      </c>
      <c r="AN19" s="39">
        <f t="shared" si="26"/>
        <v>0</v>
      </c>
      <c r="AO19" s="39">
        <f t="shared" si="26"/>
        <v>0</v>
      </c>
      <c r="AP19" s="39">
        <f t="shared" si="26"/>
        <v>0</v>
      </c>
      <c r="AQ19" s="39">
        <f t="shared" si="26"/>
        <v>0</v>
      </c>
      <c r="AR19" s="39">
        <f t="shared" si="26"/>
        <v>0</v>
      </c>
      <c r="AS19" s="39">
        <f t="shared" si="26"/>
        <v>0</v>
      </c>
      <c r="AT19" s="39">
        <f t="shared" si="26"/>
        <v>20</v>
      </c>
      <c r="AU19" s="39">
        <f t="shared" si="26"/>
        <v>20</v>
      </c>
      <c r="AV19" s="39">
        <f t="shared" si="26"/>
        <v>0</v>
      </c>
      <c r="AW19" s="39">
        <f t="shared" si="26"/>
        <v>0</v>
      </c>
      <c r="AX19" s="39">
        <f t="shared" si="26"/>
        <v>0</v>
      </c>
      <c r="AY19" s="39">
        <f t="shared" si="26"/>
        <v>0</v>
      </c>
      <c r="AZ19" s="39">
        <f t="shared" si="26"/>
        <v>987.5</v>
      </c>
      <c r="BA19" s="39">
        <f t="shared" si="26"/>
        <v>987.5</v>
      </c>
      <c r="BB19" s="39">
        <f t="shared" si="26"/>
        <v>4398</v>
      </c>
      <c r="BC19" s="39">
        <f t="shared" si="26"/>
        <v>4398</v>
      </c>
      <c r="BD19" s="39">
        <f t="shared" si="26"/>
        <v>1164.77</v>
      </c>
      <c r="BE19" s="39">
        <f t="shared" si="26"/>
        <v>844.8</v>
      </c>
      <c r="BF19" s="39">
        <f t="shared" si="26"/>
        <v>0</v>
      </c>
      <c r="BG19" s="39">
        <f t="shared" si="26"/>
        <v>0</v>
      </c>
      <c r="BH19" s="39">
        <f t="shared" si="26"/>
        <v>0</v>
      </c>
      <c r="BI19" s="39">
        <f t="shared" si="26"/>
        <v>0</v>
      </c>
      <c r="BJ19" s="39">
        <f t="shared" si="26"/>
        <v>0</v>
      </c>
      <c r="BK19" s="39">
        <f t="shared" si="26"/>
        <v>0</v>
      </c>
      <c r="BL19" s="39">
        <f t="shared" si="26"/>
        <v>0</v>
      </c>
      <c r="BM19" s="39">
        <f t="shared" si="26"/>
        <v>0</v>
      </c>
      <c r="BN19" s="39">
        <f t="shared" si="26"/>
        <v>719.213</v>
      </c>
      <c r="BO19" s="39">
        <f aca="true" t="shared" si="27" ref="BO19:DZ19">SUM(BO20:BO28)</f>
        <v>719.213</v>
      </c>
      <c r="BP19" s="39">
        <f t="shared" si="27"/>
        <v>0</v>
      </c>
      <c r="BQ19" s="39">
        <f t="shared" si="27"/>
        <v>0</v>
      </c>
      <c r="BR19" s="39">
        <f t="shared" si="27"/>
        <v>0</v>
      </c>
      <c r="BS19" s="39">
        <f t="shared" si="27"/>
        <v>0</v>
      </c>
      <c r="BT19" s="39">
        <f t="shared" si="27"/>
        <v>4038.5</v>
      </c>
      <c r="BU19" s="39">
        <f t="shared" si="27"/>
        <v>4038.5</v>
      </c>
      <c r="BV19" s="39">
        <f t="shared" si="27"/>
        <v>4668.768</v>
      </c>
      <c r="BW19" s="39">
        <f t="shared" si="27"/>
        <v>4668.768</v>
      </c>
      <c r="BX19" s="39">
        <f t="shared" si="27"/>
        <v>0</v>
      </c>
      <c r="BY19" s="39">
        <f t="shared" si="27"/>
        <v>0</v>
      </c>
      <c r="BZ19" s="39">
        <f t="shared" si="27"/>
        <v>0</v>
      </c>
      <c r="CA19" s="39">
        <f t="shared" si="27"/>
        <v>0</v>
      </c>
      <c r="CB19" s="39">
        <f t="shared" si="27"/>
        <v>3452.22</v>
      </c>
      <c r="CC19" s="39">
        <f t="shared" si="27"/>
        <v>3452.22</v>
      </c>
      <c r="CD19" s="39">
        <f t="shared" si="27"/>
        <v>1726.11</v>
      </c>
      <c r="CE19" s="39">
        <f t="shared" si="27"/>
        <v>1726.11</v>
      </c>
      <c r="CF19" s="39">
        <f t="shared" si="27"/>
        <v>15769.581</v>
      </c>
      <c r="CG19" s="39">
        <f t="shared" si="27"/>
        <v>15449.610999999999</v>
      </c>
      <c r="CH19" s="39">
        <f t="shared" si="27"/>
        <v>0</v>
      </c>
      <c r="CI19" s="39">
        <f t="shared" si="27"/>
        <v>0</v>
      </c>
      <c r="CJ19" s="39">
        <f t="shared" si="27"/>
        <v>0</v>
      </c>
      <c r="CK19" s="39">
        <f t="shared" si="27"/>
        <v>0</v>
      </c>
      <c r="CL19" s="39">
        <f t="shared" si="27"/>
        <v>0</v>
      </c>
      <c r="CM19" s="39">
        <f t="shared" si="27"/>
        <v>0</v>
      </c>
      <c r="CN19" s="39">
        <f t="shared" si="27"/>
        <v>0</v>
      </c>
      <c r="CO19" s="39">
        <f t="shared" si="27"/>
        <v>0</v>
      </c>
      <c r="CP19" s="39">
        <f t="shared" si="27"/>
        <v>0</v>
      </c>
      <c r="CQ19" s="39">
        <f t="shared" si="27"/>
        <v>0</v>
      </c>
      <c r="CR19" s="39">
        <f t="shared" si="27"/>
        <v>0</v>
      </c>
      <c r="CS19" s="39">
        <f t="shared" si="27"/>
        <v>0</v>
      </c>
      <c r="CT19" s="39">
        <f t="shared" si="27"/>
        <v>0</v>
      </c>
      <c r="CU19" s="39">
        <f t="shared" si="27"/>
        <v>0</v>
      </c>
      <c r="CV19" s="39">
        <f t="shared" si="27"/>
        <v>0</v>
      </c>
      <c r="CW19" s="39">
        <f t="shared" si="27"/>
        <v>0</v>
      </c>
      <c r="CX19" s="39">
        <f t="shared" si="27"/>
        <v>2780</v>
      </c>
      <c r="CY19" s="39">
        <f t="shared" si="27"/>
        <v>0</v>
      </c>
      <c r="CZ19" s="39">
        <f t="shared" si="27"/>
        <v>484.84799999999996</v>
      </c>
      <c r="DA19" s="39">
        <f t="shared" si="27"/>
        <v>484.18699999999995</v>
      </c>
      <c r="DB19" s="39">
        <f t="shared" si="27"/>
        <v>1115</v>
      </c>
      <c r="DC19" s="39">
        <f t="shared" si="27"/>
        <v>0</v>
      </c>
      <c r="DD19" s="39">
        <f t="shared" si="27"/>
        <v>0</v>
      </c>
      <c r="DE19" s="39">
        <f t="shared" si="27"/>
        <v>0</v>
      </c>
      <c r="DF19" s="39">
        <f t="shared" si="27"/>
        <v>4379.848000000001</v>
      </c>
      <c r="DG19" s="39">
        <f t="shared" si="27"/>
        <v>484.18699999999995</v>
      </c>
      <c r="DH19" s="39">
        <f t="shared" si="27"/>
        <v>0</v>
      </c>
      <c r="DI19" s="39">
        <f t="shared" si="27"/>
        <v>0</v>
      </c>
      <c r="DJ19" s="39">
        <f t="shared" si="27"/>
        <v>0</v>
      </c>
      <c r="DK19" s="39">
        <f t="shared" si="27"/>
        <v>0</v>
      </c>
      <c r="DL19" s="39">
        <f t="shared" si="27"/>
        <v>0</v>
      </c>
      <c r="DM19" s="39">
        <f t="shared" si="27"/>
        <v>0</v>
      </c>
      <c r="DN19" s="39">
        <f t="shared" si="27"/>
        <v>0</v>
      </c>
      <c r="DO19" s="39">
        <f t="shared" si="27"/>
        <v>0</v>
      </c>
      <c r="DP19" s="39">
        <f t="shared" si="27"/>
        <v>0</v>
      </c>
      <c r="DQ19" s="39">
        <f t="shared" si="27"/>
        <v>0</v>
      </c>
      <c r="DR19" s="39">
        <f t="shared" si="27"/>
        <v>0</v>
      </c>
      <c r="DS19" s="39">
        <f t="shared" si="27"/>
        <v>0</v>
      </c>
      <c r="DT19" s="39">
        <f t="shared" si="27"/>
        <v>0</v>
      </c>
      <c r="DU19" s="39">
        <f t="shared" si="27"/>
        <v>0</v>
      </c>
      <c r="DV19" s="39">
        <f t="shared" si="27"/>
        <v>0</v>
      </c>
      <c r="DW19" s="39">
        <f t="shared" si="27"/>
        <v>0</v>
      </c>
      <c r="DX19" s="39">
        <f t="shared" si="27"/>
        <v>0</v>
      </c>
      <c r="DY19" s="39">
        <f t="shared" si="27"/>
        <v>0</v>
      </c>
      <c r="DZ19" s="39">
        <f t="shared" si="27"/>
        <v>0</v>
      </c>
      <c r="EA19" s="39">
        <f aca="true" t="shared" si="28" ref="EA19:GL19">SUM(EA20:EA28)</f>
        <v>0</v>
      </c>
      <c r="EB19" s="39">
        <f t="shared" si="28"/>
        <v>0</v>
      </c>
      <c r="EC19" s="39">
        <f t="shared" si="28"/>
        <v>0</v>
      </c>
      <c r="ED19" s="39">
        <f t="shared" si="28"/>
        <v>73</v>
      </c>
      <c r="EE19" s="39">
        <f t="shared" si="28"/>
        <v>73</v>
      </c>
      <c r="EF19" s="39">
        <f t="shared" si="28"/>
        <v>7630</v>
      </c>
      <c r="EG19" s="39">
        <f t="shared" si="28"/>
        <v>6901.83</v>
      </c>
      <c r="EH19" s="39">
        <f t="shared" si="28"/>
        <v>27595.1</v>
      </c>
      <c r="EI19" s="39">
        <f t="shared" si="28"/>
        <v>27595.1</v>
      </c>
      <c r="EJ19" s="39">
        <f t="shared" si="28"/>
        <v>659</v>
      </c>
      <c r="EK19" s="39">
        <f t="shared" si="28"/>
        <v>579.4</v>
      </c>
      <c r="EL19" s="39">
        <f t="shared" si="28"/>
        <v>1630</v>
      </c>
      <c r="EM19" s="39">
        <f t="shared" si="28"/>
        <v>1630</v>
      </c>
      <c r="EN19" s="39">
        <f t="shared" si="28"/>
        <v>0</v>
      </c>
      <c r="EO19" s="39">
        <f t="shared" si="28"/>
        <v>0</v>
      </c>
      <c r="EP19" s="39">
        <f t="shared" si="28"/>
        <v>653</v>
      </c>
      <c r="EQ19" s="39">
        <f t="shared" si="28"/>
        <v>653</v>
      </c>
      <c r="ER19" s="39">
        <f t="shared" si="28"/>
        <v>0</v>
      </c>
      <c r="ES19" s="39">
        <f t="shared" si="28"/>
        <v>0</v>
      </c>
      <c r="ET19" s="39">
        <f t="shared" si="28"/>
        <v>0</v>
      </c>
      <c r="EU19" s="39">
        <f t="shared" si="28"/>
        <v>0</v>
      </c>
      <c r="EV19" s="39">
        <f t="shared" si="28"/>
        <v>53.60000000000001</v>
      </c>
      <c r="EW19" s="39">
        <f t="shared" si="28"/>
        <v>53.60000000000001</v>
      </c>
      <c r="EX19" s="39">
        <f t="shared" si="28"/>
        <v>0</v>
      </c>
      <c r="EY19" s="39">
        <f t="shared" si="28"/>
        <v>0</v>
      </c>
      <c r="EZ19" s="39">
        <f t="shared" si="28"/>
        <v>0</v>
      </c>
      <c r="FA19" s="39">
        <f t="shared" si="28"/>
        <v>0</v>
      </c>
      <c r="FB19" s="39">
        <f t="shared" si="28"/>
        <v>38293.69999999999</v>
      </c>
      <c r="FC19" s="39">
        <f t="shared" si="28"/>
        <v>37485.92999999999</v>
      </c>
      <c r="FD19" s="39">
        <f t="shared" si="28"/>
        <v>0</v>
      </c>
      <c r="FE19" s="39">
        <f t="shared" si="28"/>
        <v>0</v>
      </c>
      <c r="FF19" s="39">
        <f t="shared" si="28"/>
        <v>0</v>
      </c>
      <c r="FG19" s="39">
        <f t="shared" si="28"/>
        <v>0</v>
      </c>
      <c r="FH19" s="39">
        <f t="shared" si="28"/>
        <v>0</v>
      </c>
      <c r="FI19" s="39">
        <f t="shared" si="28"/>
        <v>0</v>
      </c>
      <c r="FJ19" s="39">
        <f t="shared" si="28"/>
        <v>0</v>
      </c>
      <c r="FK19" s="39">
        <f t="shared" si="28"/>
        <v>0</v>
      </c>
      <c r="FL19" s="39">
        <f t="shared" si="28"/>
        <v>0</v>
      </c>
      <c r="FM19" s="39">
        <f t="shared" si="28"/>
        <v>0</v>
      </c>
      <c r="FN19" s="39">
        <f t="shared" si="28"/>
        <v>0</v>
      </c>
      <c r="FO19" s="39">
        <f t="shared" si="28"/>
        <v>0</v>
      </c>
      <c r="FP19" s="39">
        <f t="shared" si="28"/>
        <v>0</v>
      </c>
      <c r="FQ19" s="39">
        <f t="shared" si="28"/>
        <v>0</v>
      </c>
      <c r="FR19" s="39">
        <f t="shared" si="28"/>
        <v>11975.7</v>
      </c>
      <c r="FS19" s="39">
        <f t="shared" si="28"/>
        <v>1636.1</v>
      </c>
      <c r="FT19" s="39">
        <f t="shared" si="28"/>
        <v>3858</v>
      </c>
      <c r="FU19" s="39">
        <f t="shared" si="28"/>
        <v>3858</v>
      </c>
      <c r="FV19" s="39">
        <f t="shared" si="28"/>
        <v>2455</v>
      </c>
      <c r="FW19" s="39">
        <f t="shared" si="28"/>
        <v>2455</v>
      </c>
      <c r="FX19" s="39">
        <f t="shared" si="28"/>
        <v>9805</v>
      </c>
      <c r="FY19" s="39">
        <f t="shared" si="28"/>
        <v>9805</v>
      </c>
      <c r="FZ19" s="39">
        <f t="shared" si="28"/>
        <v>13993</v>
      </c>
      <c r="GA19" s="39">
        <f t="shared" si="28"/>
        <v>13993</v>
      </c>
      <c r="GB19" s="39">
        <f t="shared" si="28"/>
        <v>0</v>
      </c>
      <c r="GC19" s="39">
        <f t="shared" si="28"/>
        <v>0</v>
      </c>
      <c r="GD19" s="39">
        <f t="shared" si="28"/>
        <v>53938.956999999995</v>
      </c>
      <c r="GE19" s="39">
        <f t="shared" si="28"/>
        <v>25326.157</v>
      </c>
      <c r="GF19" s="39">
        <f t="shared" si="28"/>
        <v>1475.9</v>
      </c>
      <c r="GG19" s="39">
        <f t="shared" si="28"/>
        <v>1475.9</v>
      </c>
      <c r="GH19" s="39">
        <f t="shared" si="28"/>
        <v>631.9</v>
      </c>
      <c r="GI19" s="39">
        <f t="shared" si="28"/>
        <v>631.9</v>
      </c>
      <c r="GJ19" s="39">
        <f t="shared" si="28"/>
        <v>164854</v>
      </c>
      <c r="GK19" s="39">
        <f t="shared" si="28"/>
        <v>164854</v>
      </c>
      <c r="GL19" s="39">
        <f t="shared" si="28"/>
        <v>333240.2</v>
      </c>
      <c r="GM19" s="39">
        <f aca="true" t="shared" si="29" ref="GM19:HY19">SUM(GM20:GM28)</f>
        <v>333240.2</v>
      </c>
      <c r="GN19" s="39">
        <f t="shared" si="29"/>
        <v>12024</v>
      </c>
      <c r="GO19" s="39">
        <f t="shared" si="29"/>
        <v>12024</v>
      </c>
      <c r="GP19" s="39">
        <f t="shared" si="29"/>
        <v>22415.1</v>
      </c>
      <c r="GQ19" s="39">
        <f t="shared" si="29"/>
        <v>22415.1</v>
      </c>
      <c r="GR19" s="39">
        <f t="shared" si="29"/>
        <v>2385</v>
      </c>
      <c r="GS19" s="39">
        <f t="shared" si="29"/>
        <v>2385</v>
      </c>
      <c r="GT19" s="39">
        <f t="shared" si="29"/>
        <v>540.5</v>
      </c>
      <c r="GU19" s="39">
        <f t="shared" si="29"/>
        <v>540.5</v>
      </c>
      <c r="GV19" s="39">
        <f t="shared" si="29"/>
        <v>21326</v>
      </c>
      <c r="GW19" s="39">
        <f t="shared" si="29"/>
        <v>21326</v>
      </c>
      <c r="GX19" s="39">
        <f t="shared" si="29"/>
        <v>12459.8</v>
      </c>
      <c r="GY19" s="39">
        <f t="shared" si="29"/>
        <v>12459.8</v>
      </c>
      <c r="GZ19" s="39">
        <f t="shared" si="29"/>
        <v>50</v>
      </c>
      <c r="HA19" s="39">
        <f t="shared" si="29"/>
        <v>50</v>
      </c>
      <c r="HB19" s="39">
        <f t="shared" si="29"/>
        <v>559.6</v>
      </c>
      <c r="HC19" s="39">
        <f t="shared" si="29"/>
        <v>559.6</v>
      </c>
      <c r="HD19" s="39">
        <f t="shared" si="29"/>
        <v>667987.657</v>
      </c>
      <c r="HE19" s="39">
        <f t="shared" si="29"/>
        <v>629035.2570000001</v>
      </c>
      <c r="HF19" s="39">
        <f t="shared" si="29"/>
        <v>0</v>
      </c>
      <c r="HG19" s="39">
        <f t="shared" si="29"/>
        <v>0</v>
      </c>
      <c r="HH19" s="39">
        <f t="shared" si="29"/>
        <v>14422</v>
      </c>
      <c r="HI19" s="39">
        <f t="shared" si="29"/>
        <v>61.645</v>
      </c>
      <c r="HJ19" s="39">
        <f t="shared" si="29"/>
        <v>0</v>
      </c>
      <c r="HK19" s="39">
        <f t="shared" si="29"/>
        <v>0</v>
      </c>
      <c r="HL19" s="39">
        <f t="shared" si="29"/>
        <v>0</v>
      </c>
      <c r="HM19" s="39">
        <f t="shared" si="29"/>
        <v>0</v>
      </c>
      <c r="HN19" s="39">
        <f t="shared" si="29"/>
        <v>95000</v>
      </c>
      <c r="HO19" s="39">
        <f t="shared" si="29"/>
        <v>95000</v>
      </c>
      <c r="HP19" s="39">
        <f t="shared" si="29"/>
        <v>109422</v>
      </c>
      <c r="HQ19" s="39">
        <f t="shared" si="29"/>
        <v>95061.645</v>
      </c>
      <c r="HR19" s="39">
        <f t="shared" si="29"/>
        <v>1900</v>
      </c>
      <c r="HS19" s="39">
        <f t="shared" si="29"/>
        <v>1900</v>
      </c>
      <c r="HT19" s="39">
        <f t="shared" si="29"/>
        <v>806</v>
      </c>
      <c r="HU19" s="39">
        <f t="shared" si="29"/>
        <v>806</v>
      </c>
      <c r="HV19" s="39">
        <f t="shared" si="29"/>
        <v>13.919</v>
      </c>
      <c r="HW19" s="39">
        <f t="shared" si="29"/>
        <v>13.919</v>
      </c>
      <c r="HX19" s="39">
        <f t="shared" si="29"/>
        <v>2719.919</v>
      </c>
      <c r="HY19" s="39">
        <f t="shared" si="29"/>
        <v>2719.919</v>
      </c>
    </row>
    <row r="20" spans="1:233" ht="12.75" customHeight="1">
      <c r="A20" s="12" t="s">
        <v>156</v>
      </c>
      <c r="B20" s="34"/>
      <c r="C20" s="34"/>
      <c r="D20" s="34"/>
      <c r="E20" s="34"/>
      <c r="F20" s="39">
        <f>35000+3333+4166+4166+4166+4166+4166+4167+4167+4167</f>
        <v>71664</v>
      </c>
      <c r="G20" s="39">
        <f>35000+3333+4166+4166+4166+4166+4166+4167+4167+4167</f>
        <v>71664</v>
      </c>
      <c r="H20" s="34"/>
      <c r="I20" s="34"/>
      <c r="J20" s="34"/>
      <c r="K20" s="34"/>
      <c r="L20" s="34"/>
      <c r="M20" s="34"/>
      <c r="N20" s="34"/>
      <c r="O20" s="34"/>
      <c r="P20" s="34"/>
      <c r="Q20" s="34"/>
      <c r="R20" s="39"/>
      <c r="S20" s="34"/>
      <c r="T20" s="39">
        <v>14720</v>
      </c>
      <c r="U20" s="39">
        <v>14720</v>
      </c>
      <c r="V20" s="39"/>
      <c r="W20" s="34"/>
      <c r="X20" s="34"/>
      <c r="Y20" s="34"/>
      <c r="Z20" s="34"/>
      <c r="AA20" s="34"/>
      <c r="AB20" s="34"/>
      <c r="AC20" s="34"/>
      <c r="AD20" s="34"/>
      <c r="AE20" s="34"/>
      <c r="AF20" s="39">
        <v>0</v>
      </c>
      <c r="AG20" s="48"/>
      <c r="AH20" s="126">
        <f t="shared" si="5"/>
        <v>86384</v>
      </c>
      <c r="AI20" s="126">
        <f t="shared" si="6"/>
        <v>86384</v>
      </c>
      <c r="AJ20" s="43">
        <v>967.5</v>
      </c>
      <c r="AK20" s="43">
        <v>967.5</v>
      </c>
      <c r="AL20" s="134"/>
      <c r="AM20" s="41"/>
      <c r="AN20" s="41"/>
      <c r="AO20" s="41"/>
      <c r="AP20" s="41"/>
      <c r="AQ20" s="41"/>
      <c r="AR20" s="39"/>
      <c r="AS20" s="39"/>
      <c r="AT20" s="43">
        <v>20</v>
      </c>
      <c r="AU20" s="43">
        <v>20</v>
      </c>
      <c r="AV20" s="43"/>
      <c r="AW20" s="43"/>
      <c r="AX20" s="43"/>
      <c r="AY20" s="43"/>
      <c r="AZ20" s="39">
        <f t="shared" si="7"/>
        <v>987.5</v>
      </c>
      <c r="BA20" s="39">
        <f t="shared" si="8"/>
        <v>987.5</v>
      </c>
      <c r="BB20" s="39">
        <v>4398</v>
      </c>
      <c r="BC20" s="39">
        <v>4398</v>
      </c>
      <c r="BD20" s="39">
        <v>488.77</v>
      </c>
      <c r="BE20" s="43">
        <v>192.5</v>
      </c>
      <c r="BF20" s="43"/>
      <c r="BG20" s="43"/>
      <c r="BH20" s="43"/>
      <c r="BI20" s="43"/>
      <c r="BJ20" s="43"/>
      <c r="BK20" s="43"/>
      <c r="BL20" s="43"/>
      <c r="BM20" s="43"/>
      <c r="BN20" s="43">
        <v>719.213</v>
      </c>
      <c r="BO20" s="43">
        <v>719.213</v>
      </c>
      <c r="BP20" s="43"/>
      <c r="BQ20" s="43"/>
      <c r="BR20" s="43"/>
      <c r="BS20" s="43"/>
      <c r="BT20" s="43">
        <v>4038.5</v>
      </c>
      <c r="BU20" s="43">
        <v>4038.5</v>
      </c>
      <c r="BV20" s="43">
        <v>4668.768</v>
      </c>
      <c r="BW20" s="43">
        <v>4668.768</v>
      </c>
      <c r="BX20" s="43"/>
      <c r="BY20" s="45"/>
      <c r="BZ20" s="43"/>
      <c r="CA20" s="43"/>
      <c r="CB20" s="39">
        <v>3452.22</v>
      </c>
      <c r="CC20" s="39">
        <v>3452.22</v>
      </c>
      <c r="CD20" s="43">
        <v>1726.11</v>
      </c>
      <c r="CE20" s="43">
        <v>1726.11</v>
      </c>
      <c r="CF20" s="39">
        <f t="shared" si="9"/>
        <v>15093.581</v>
      </c>
      <c r="CG20" s="39">
        <f t="shared" si="10"/>
        <v>14797.311</v>
      </c>
      <c r="CH20" s="39"/>
      <c r="CI20" s="39"/>
      <c r="CJ20" s="39"/>
      <c r="CK20" s="45"/>
      <c r="CL20" s="45"/>
      <c r="CM20" s="43"/>
      <c r="CN20" s="43"/>
      <c r="CO20" s="43"/>
      <c r="CP20" s="43"/>
      <c r="CQ20" s="39"/>
      <c r="CR20" s="43"/>
      <c r="CS20" s="43"/>
      <c r="CT20" s="43"/>
      <c r="CU20" s="45"/>
      <c r="CV20" s="45"/>
      <c r="CW20" s="43"/>
      <c r="CX20" s="39"/>
      <c r="CY20" s="43"/>
      <c r="CZ20" s="39"/>
      <c r="DA20" s="45"/>
      <c r="DB20" s="45"/>
      <c r="DC20" s="45"/>
      <c r="DD20" s="45"/>
      <c r="DE20" s="45"/>
      <c r="DF20" s="39">
        <f t="shared" si="11"/>
        <v>0</v>
      </c>
      <c r="DG20" s="39">
        <f t="shared" si="12"/>
        <v>0</v>
      </c>
      <c r="DH20" s="39"/>
      <c r="DI20" s="39"/>
      <c r="DJ20" s="39">
        <v>0</v>
      </c>
      <c r="DK20" s="39">
        <f t="shared" si="13"/>
        <v>0</v>
      </c>
      <c r="DL20" s="39"/>
      <c r="DM20" s="39"/>
      <c r="DN20" s="43"/>
      <c r="DO20" s="43"/>
      <c r="DP20" s="39">
        <f t="shared" si="14"/>
        <v>0</v>
      </c>
      <c r="DQ20" s="39">
        <f t="shared" si="15"/>
        <v>0</v>
      </c>
      <c r="DR20" s="39"/>
      <c r="DS20" s="39"/>
      <c r="DT20" s="43"/>
      <c r="DU20" s="43"/>
      <c r="DV20" s="43"/>
      <c r="DW20" s="43"/>
      <c r="DX20" s="43"/>
      <c r="DY20" s="43"/>
      <c r="DZ20" s="39"/>
      <c r="EA20" s="39"/>
      <c r="EB20" s="43"/>
      <c r="EC20" s="43"/>
      <c r="ED20" s="43"/>
      <c r="EE20" s="43"/>
      <c r="EF20" s="39">
        <v>0</v>
      </c>
      <c r="EG20" s="43"/>
      <c r="EH20" s="43">
        <v>3446</v>
      </c>
      <c r="EI20" s="39">
        <v>3446</v>
      </c>
      <c r="EJ20" s="39">
        <v>66</v>
      </c>
      <c r="EK20" s="43">
        <v>66</v>
      </c>
      <c r="EL20" s="43"/>
      <c r="EM20" s="43"/>
      <c r="EN20" s="45"/>
      <c r="EO20" s="45"/>
      <c r="EP20" s="43"/>
      <c r="EQ20" s="43"/>
      <c r="ER20" s="43"/>
      <c r="ES20" s="43"/>
      <c r="ET20" s="135"/>
      <c r="EU20" s="135"/>
      <c r="EV20" s="135"/>
      <c r="EW20" s="135"/>
      <c r="EX20" s="43"/>
      <c r="EY20" s="43"/>
      <c r="EZ20" s="43"/>
      <c r="FA20" s="43"/>
      <c r="FB20" s="37">
        <f t="shared" si="16"/>
        <v>3512</v>
      </c>
      <c r="FC20" s="37">
        <f t="shared" si="17"/>
        <v>3512</v>
      </c>
      <c r="FD20" s="39"/>
      <c r="FE20" s="39"/>
      <c r="FF20" s="43"/>
      <c r="FG20" s="43"/>
      <c r="FH20" s="132">
        <f t="shared" si="18"/>
        <v>0</v>
      </c>
      <c r="FI20" s="132">
        <f t="shared" si="19"/>
        <v>0</v>
      </c>
      <c r="FJ20" s="39"/>
      <c r="FK20" s="39"/>
      <c r="FL20" s="43"/>
      <c r="FM20" s="43"/>
      <c r="FN20" s="43"/>
      <c r="FO20" s="43"/>
      <c r="FP20" s="43"/>
      <c r="FQ20" s="43"/>
      <c r="FR20" s="39">
        <v>11975.7</v>
      </c>
      <c r="FS20" s="135">
        <v>1636.1</v>
      </c>
      <c r="FT20" s="43">
        <v>3858</v>
      </c>
      <c r="FU20" s="43">
        <v>3858</v>
      </c>
      <c r="FV20" s="43">
        <v>2455</v>
      </c>
      <c r="FW20" s="43">
        <v>2455</v>
      </c>
      <c r="FX20" s="43">
        <v>9805</v>
      </c>
      <c r="FY20" s="43">
        <v>9805</v>
      </c>
      <c r="FZ20" s="43">
        <v>13993</v>
      </c>
      <c r="GA20" s="43">
        <v>13993</v>
      </c>
      <c r="GB20" s="43"/>
      <c r="GC20" s="43"/>
      <c r="GD20" s="135">
        <f>8550+16776.157+28612.8</f>
        <v>53938.956999999995</v>
      </c>
      <c r="GE20" s="135">
        <f>8550+16776.157</f>
        <v>25326.157</v>
      </c>
      <c r="GF20" s="43">
        <v>1475.9</v>
      </c>
      <c r="GG20" s="43">
        <v>1475.9</v>
      </c>
      <c r="GH20" s="43">
        <v>631.9</v>
      </c>
      <c r="GI20" s="43">
        <v>631.9</v>
      </c>
      <c r="GJ20" s="43">
        <v>164854</v>
      </c>
      <c r="GK20" s="43">
        <v>164854</v>
      </c>
      <c r="GL20" s="43">
        <v>333240.2</v>
      </c>
      <c r="GM20" s="43">
        <v>333240.2</v>
      </c>
      <c r="GN20" s="43">
        <v>12024</v>
      </c>
      <c r="GO20" s="43">
        <v>12024</v>
      </c>
      <c r="GP20" s="43">
        <v>22415.1</v>
      </c>
      <c r="GQ20" s="43">
        <v>22415.1</v>
      </c>
      <c r="GR20" s="43">
        <v>2385</v>
      </c>
      <c r="GS20" s="43">
        <v>2385</v>
      </c>
      <c r="GT20" s="43">
        <v>540.5</v>
      </c>
      <c r="GU20" s="43">
        <v>540.5</v>
      </c>
      <c r="GV20" s="43">
        <v>21326</v>
      </c>
      <c r="GW20" s="43">
        <v>21326</v>
      </c>
      <c r="GX20" s="45">
        <v>12459.8</v>
      </c>
      <c r="GY20" s="45">
        <v>12459.8</v>
      </c>
      <c r="GZ20" s="43">
        <v>50</v>
      </c>
      <c r="HA20" s="43">
        <v>50</v>
      </c>
      <c r="HB20" s="43">
        <v>559.6</v>
      </c>
      <c r="HC20" s="43">
        <v>559.6</v>
      </c>
      <c r="HD20" s="39">
        <f t="shared" si="20"/>
        <v>667987.657</v>
      </c>
      <c r="HE20" s="39">
        <f t="shared" si="21"/>
        <v>629035.2570000001</v>
      </c>
      <c r="HF20" s="39">
        <v>0</v>
      </c>
      <c r="HG20" s="39">
        <v>0</v>
      </c>
      <c r="HH20" s="39">
        <v>14422</v>
      </c>
      <c r="HI20" s="43">
        <v>61.645</v>
      </c>
      <c r="HJ20" s="43">
        <v>0</v>
      </c>
      <c r="HK20" s="43">
        <v>0</v>
      </c>
      <c r="HL20" s="43">
        <v>0</v>
      </c>
      <c r="HM20" s="43">
        <v>0</v>
      </c>
      <c r="HN20" s="126">
        <v>95000</v>
      </c>
      <c r="HO20" s="126">
        <v>95000</v>
      </c>
      <c r="HP20" s="39">
        <f t="shared" si="22"/>
        <v>109422</v>
      </c>
      <c r="HQ20" s="39">
        <f t="shared" si="23"/>
        <v>95061.645</v>
      </c>
      <c r="HR20" s="39">
        <v>1900</v>
      </c>
      <c r="HS20" s="39">
        <v>1900</v>
      </c>
      <c r="HT20" s="39">
        <v>806</v>
      </c>
      <c r="HU20" s="43">
        <v>806</v>
      </c>
      <c r="HV20" s="39">
        <v>13.919</v>
      </c>
      <c r="HW20" s="39">
        <v>13.919</v>
      </c>
      <c r="HX20" s="39">
        <f t="shared" si="24"/>
        <v>2719.919</v>
      </c>
      <c r="HY20" s="39">
        <f t="shared" si="25"/>
        <v>2719.919</v>
      </c>
    </row>
    <row r="21" spans="1:233" ht="12.75">
      <c r="A21" s="14" t="s">
        <v>157</v>
      </c>
      <c r="B21" s="34"/>
      <c r="C21" s="34"/>
      <c r="D21" s="39">
        <f>1001+1001+1000+834+834+834+834+834+834+666.7+666.7+666.6</f>
        <v>10006.000000000002</v>
      </c>
      <c r="E21" s="39">
        <f>1001+1001+1000+834+834+834+834+834+834+666.7+666.7+666.6</f>
        <v>10006.000000000002</v>
      </c>
      <c r="F21" s="39"/>
      <c r="G21" s="39"/>
      <c r="H21" s="34"/>
      <c r="I21" s="34"/>
      <c r="J21" s="34"/>
      <c r="K21" s="34"/>
      <c r="L21" s="34"/>
      <c r="M21" s="34"/>
      <c r="N21" s="34"/>
      <c r="O21" s="34"/>
      <c r="P21" s="34"/>
      <c r="Q21" s="34"/>
      <c r="R21" s="39"/>
      <c r="S21" s="34"/>
      <c r="T21" s="39">
        <v>6967.76666</v>
      </c>
      <c r="U21" s="39">
        <f>1292.76666+5675</f>
        <v>6967.76666</v>
      </c>
      <c r="V21" s="39"/>
      <c r="W21" s="34"/>
      <c r="X21" s="34"/>
      <c r="Y21" s="34"/>
      <c r="Z21" s="34"/>
      <c r="AA21" s="34"/>
      <c r="AB21" s="34"/>
      <c r="AC21" s="34"/>
      <c r="AD21" s="34"/>
      <c r="AE21" s="34"/>
      <c r="AF21" s="39">
        <v>0</v>
      </c>
      <c r="AG21" s="48"/>
      <c r="AH21" s="126">
        <f t="shared" si="5"/>
        <v>16973.76666</v>
      </c>
      <c r="AI21" s="126">
        <f t="shared" si="6"/>
        <v>16973.76666</v>
      </c>
      <c r="AJ21" s="43"/>
      <c r="AK21" s="43"/>
      <c r="AL21" s="134"/>
      <c r="AM21" s="41"/>
      <c r="AN21" s="41"/>
      <c r="AO21" s="41"/>
      <c r="AP21" s="41"/>
      <c r="AQ21" s="41"/>
      <c r="AR21" s="39"/>
      <c r="AS21" s="39"/>
      <c r="AT21" s="43"/>
      <c r="AU21" s="43"/>
      <c r="AV21" s="43"/>
      <c r="AW21" s="43"/>
      <c r="AX21" s="43"/>
      <c r="AY21" s="43"/>
      <c r="AZ21" s="39">
        <f t="shared" si="7"/>
        <v>0</v>
      </c>
      <c r="BA21" s="39">
        <f t="shared" si="8"/>
        <v>0</v>
      </c>
      <c r="BB21" s="39">
        <v>0</v>
      </c>
      <c r="BC21" s="39">
        <v>0</v>
      </c>
      <c r="BD21" s="39"/>
      <c r="BE21" s="43"/>
      <c r="BF21" s="43"/>
      <c r="BG21" s="43"/>
      <c r="BH21" s="43"/>
      <c r="BI21" s="43"/>
      <c r="BJ21" s="43"/>
      <c r="BK21" s="43"/>
      <c r="BL21" s="43"/>
      <c r="BM21" s="43"/>
      <c r="BN21" s="45"/>
      <c r="BO21" s="45"/>
      <c r="BP21" s="45"/>
      <c r="BQ21" s="45"/>
      <c r="BR21" s="43"/>
      <c r="BS21" s="43"/>
      <c r="BT21" s="43"/>
      <c r="BU21" s="43"/>
      <c r="BV21" s="45"/>
      <c r="BW21" s="45"/>
      <c r="BX21" s="43"/>
      <c r="BY21" s="45"/>
      <c r="BZ21" s="43"/>
      <c r="CA21" s="43"/>
      <c r="CB21" s="45"/>
      <c r="CC21" s="45"/>
      <c r="CD21" s="45"/>
      <c r="CE21" s="45"/>
      <c r="CF21" s="39">
        <f t="shared" si="9"/>
        <v>0</v>
      </c>
      <c r="CG21" s="39">
        <f t="shared" si="10"/>
        <v>0</v>
      </c>
      <c r="CH21" s="39"/>
      <c r="CI21" s="39"/>
      <c r="CJ21" s="39"/>
      <c r="CK21" s="45"/>
      <c r="CL21" s="45"/>
      <c r="CM21" s="43"/>
      <c r="CN21" s="43"/>
      <c r="CO21" s="43"/>
      <c r="CP21" s="43"/>
      <c r="CQ21" s="39"/>
      <c r="CR21" s="43"/>
      <c r="CS21" s="43"/>
      <c r="CT21" s="43"/>
      <c r="CU21" s="45"/>
      <c r="CV21" s="45"/>
      <c r="CW21" s="43"/>
      <c r="CX21" s="39">
        <v>2780</v>
      </c>
      <c r="CY21" s="43"/>
      <c r="CZ21" s="39">
        <v>213.904</v>
      </c>
      <c r="DA21" s="39">
        <v>213.275</v>
      </c>
      <c r="DB21" s="39">
        <v>1115</v>
      </c>
      <c r="DC21" s="39"/>
      <c r="DD21" s="45"/>
      <c r="DE21" s="45"/>
      <c r="DF21" s="39">
        <f t="shared" si="11"/>
        <v>4108.904</v>
      </c>
      <c r="DG21" s="39">
        <f t="shared" si="12"/>
        <v>213.275</v>
      </c>
      <c r="DH21" s="39"/>
      <c r="DI21" s="39"/>
      <c r="DJ21" s="39">
        <v>0</v>
      </c>
      <c r="DK21" s="39">
        <f t="shared" si="13"/>
        <v>0</v>
      </c>
      <c r="DL21" s="39"/>
      <c r="DM21" s="39"/>
      <c r="DN21" s="43"/>
      <c r="DO21" s="43"/>
      <c r="DP21" s="39">
        <f t="shared" si="14"/>
        <v>0</v>
      </c>
      <c r="DQ21" s="39">
        <f t="shared" si="15"/>
        <v>0</v>
      </c>
      <c r="DR21" s="39"/>
      <c r="DS21" s="39"/>
      <c r="DT21" s="43"/>
      <c r="DU21" s="43"/>
      <c r="DV21" s="43"/>
      <c r="DW21" s="43"/>
      <c r="DX21" s="43"/>
      <c r="DY21" s="43"/>
      <c r="DZ21" s="39"/>
      <c r="EA21" s="39"/>
      <c r="EB21" s="43"/>
      <c r="EC21" s="43"/>
      <c r="ED21" s="43"/>
      <c r="EE21" s="43"/>
      <c r="EF21" s="39">
        <v>1730</v>
      </c>
      <c r="EG21" s="43">
        <v>1001.83</v>
      </c>
      <c r="EH21" s="43">
        <v>6985.1</v>
      </c>
      <c r="EI21" s="39">
        <v>6985.1</v>
      </c>
      <c r="EJ21" s="39">
        <v>0</v>
      </c>
      <c r="EK21" s="43">
        <v>0</v>
      </c>
      <c r="EL21" s="43">
        <v>1630</v>
      </c>
      <c r="EM21" s="43">
        <v>1630</v>
      </c>
      <c r="EN21" s="45"/>
      <c r="EO21" s="45"/>
      <c r="EP21" s="43">
        <v>653</v>
      </c>
      <c r="EQ21" s="43">
        <v>653</v>
      </c>
      <c r="ER21" s="43"/>
      <c r="ES21" s="43"/>
      <c r="ET21" s="135"/>
      <c r="EU21" s="135"/>
      <c r="EV21" s="135"/>
      <c r="EW21" s="135"/>
      <c r="EX21" s="43"/>
      <c r="EY21" s="43"/>
      <c r="EZ21" s="43"/>
      <c r="FA21" s="43"/>
      <c r="FB21" s="37">
        <f t="shared" si="16"/>
        <v>10998.1</v>
      </c>
      <c r="FC21" s="37">
        <f t="shared" si="17"/>
        <v>10269.93</v>
      </c>
      <c r="FD21" s="39"/>
      <c r="FE21" s="39"/>
      <c r="FF21" s="43"/>
      <c r="FG21" s="43"/>
      <c r="FH21" s="132">
        <f t="shared" si="18"/>
        <v>0</v>
      </c>
      <c r="FI21" s="132">
        <f t="shared" si="19"/>
        <v>0</v>
      </c>
      <c r="FJ21" s="39"/>
      <c r="FK21" s="39"/>
      <c r="FL21" s="43"/>
      <c r="FM21" s="43"/>
      <c r="FN21" s="43"/>
      <c r="FO21" s="43"/>
      <c r="FP21" s="43"/>
      <c r="FQ21" s="43"/>
      <c r="FR21" s="39"/>
      <c r="FS21" s="135"/>
      <c r="FT21" s="43"/>
      <c r="FU21" s="43"/>
      <c r="FV21" s="43"/>
      <c r="FW21" s="43"/>
      <c r="FX21" s="43"/>
      <c r="FY21" s="43"/>
      <c r="FZ21" s="43"/>
      <c r="GA21" s="43"/>
      <c r="GB21" s="43"/>
      <c r="GC21" s="43"/>
      <c r="GD21" s="135"/>
      <c r="GE21" s="135"/>
      <c r="GF21" s="43"/>
      <c r="GG21" s="43"/>
      <c r="GH21" s="43"/>
      <c r="GI21" s="43"/>
      <c r="GJ21" s="43"/>
      <c r="GK21" s="43"/>
      <c r="GL21" s="43"/>
      <c r="GM21" s="43"/>
      <c r="GN21" s="43"/>
      <c r="GO21" s="43"/>
      <c r="GP21" s="43"/>
      <c r="GQ21" s="43"/>
      <c r="GR21" s="43"/>
      <c r="GS21" s="43"/>
      <c r="GT21" s="43"/>
      <c r="GU21" s="43"/>
      <c r="GV21" s="43"/>
      <c r="GW21" s="43"/>
      <c r="GX21" s="45"/>
      <c r="GY21" s="45"/>
      <c r="GZ21" s="43"/>
      <c r="HA21" s="43"/>
      <c r="HB21" s="43"/>
      <c r="HC21" s="43"/>
      <c r="HD21" s="39">
        <f t="shared" si="20"/>
        <v>0</v>
      </c>
      <c r="HE21" s="39">
        <f t="shared" si="21"/>
        <v>0</v>
      </c>
      <c r="HF21" s="39"/>
      <c r="HG21" s="39"/>
      <c r="HH21" s="39"/>
      <c r="HI21" s="43"/>
      <c r="HJ21" s="43"/>
      <c r="HK21" s="43"/>
      <c r="HL21" s="43"/>
      <c r="HM21" s="43"/>
      <c r="HN21" s="136"/>
      <c r="HO21" s="136"/>
      <c r="HP21" s="39">
        <f t="shared" si="22"/>
        <v>0</v>
      </c>
      <c r="HQ21" s="39">
        <f t="shared" si="23"/>
        <v>0</v>
      </c>
      <c r="HR21" s="39"/>
      <c r="HS21" s="39"/>
      <c r="HT21" s="39"/>
      <c r="HU21" s="43"/>
      <c r="HV21" s="39"/>
      <c r="HW21" s="39"/>
      <c r="HX21" s="39">
        <f t="shared" si="24"/>
        <v>0</v>
      </c>
      <c r="HY21" s="39">
        <f t="shared" si="25"/>
        <v>0</v>
      </c>
    </row>
    <row r="22" spans="1:233" ht="12.75" customHeight="1">
      <c r="A22" s="14" t="s">
        <v>158</v>
      </c>
      <c r="B22" s="34"/>
      <c r="C22" s="34"/>
      <c r="D22" s="39">
        <f>164+164+163+136+136+137+136+136+137+109+109+109</f>
        <v>1636</v>
      </c>
      <c r="E22" s="39">
        <f>164+164+163+136+136+137+136+136+137+109+109+109</f>
        <v>1636</v>
      </c>
      <c r="F22" s="39"/>
      <c r="G22" s="39"/>
      <c r="H22" s="34"/>
      <c r="I22" s="34"/>
      <c r="J22" s="34"/>
      <c r="K22" s="34"/>
      <c r="L22" s="34"/>
      <c r="M22" s="34"/>
      <c r="N22" s="34"/>
      <c r="O22" s="34"/>
      <c r="P22" s="34"/>
      <c r="Q22" s="34"/>
      <c r="R22" s="39">
        <v>2000</v>
      </c>
      <c r="S22" s="34"/>
      <c r="T22" s="39">
        <v>544.66657</v>
      </c>
      <c r="U22" s="39">
        <v>544.66657</v>
      </c>
      <c r="V22" s="39"/>
      <c r="W22" s="34"/>
      <c r="X22" s="34"/>
      <c r="Y22" s="34"/>
      <c r="Z22" s="34"/>
      <c r="AA22" s="34"/>
      <c r="AB22" s="34"/>
      <c r="AC22" s="34"/>
      <c r="AD22" s="34"/>
      <c r="AE22" s="34"/>
      <c r="AF22" s="39">
        <v>293</v>
      </c>
      <c r="AG22" s="48">
        <f>24.4+24.4+24.4+24.4+24.4+24.4+49.8+6.5+17+26.5+23+23.8</f>
        <v>293</v>
      </c>
      <c r="AH22" s="126">
        <f t="shared" si="5"/>
        <v>4473.66657</v>
      </c>
      <c r="AI22" s="126">
        <f t="shared" si="6"/>
        <v>2473.66657</v>
      </c>
      <c r="AJ22" s="43"/>
      <c r="AK22" s="43"/>
      <c r="AL22" s="134"/>
      <c r="AM22" s="41"/>
      <c r="AN22" s="41"/>
      <c r="AO22" s="41"/>
      <c r="AP22" s="41"/>
      <c r="AQ22" s="41"/>
      <c r="AR22" s="39"/>
      <c r="AS22" s="39"/>
      <c r="AT22" s="43"/>
      <c r="AU22" s="43"/>
      <c r="AV22" s="43"/>
      <c r="AW22" s="43"/>
      <c r="AX22" s="43"/>
      <c r="AY22" s="43"/>
      <c r="AZ22" s="39">
        <f t="shared" si="7"/>
        <v>0</v>
      </c>
      <c r="BA22" s="39">
        <f t="shared" si="8"/>
        <v>0</v>
      </c>
      <c r="BB22" s="39">
        <v>0</v>
      </c>
      <c r="BC22" s="39">
        <v>0</v>
      </c>
      <c r="BD22" s="39"/>
      <c r="BE22" s="43"/>
      <c r="BF22" s="43"/>
      <c r="BG22" s="43"/>
      <c r="BH22" s="43"/>
      <c r="BI22" s="43"/>
      <c r="BJ22" s="43"/>
      <c r="BK22" s="43"/>
      <c r="BL22" s="43"/>
      <c r="BM22" s="43"/>
      <c r="BN22" s="45"/>
      <c r="BO22" s="45"/>
      <c r="BP22" s="45"/>
      <c r="BQ22" s="45"/>
      <c r="BR22" s="43"/>
      <c r="BS22" s="43"/>
      <c r="BT22" s="43"/>
      <c r="BU22" s="43"/>
      <c r="BV22" s="45"/>
      <c r="BW22" s="45"/>
      <c r="BX22" s="43"/>
      <c r="BY22" s="45"/>
      <c r="BZ22" s="43"/>
      <c r="CA22" s="43"/>
      <c r="CB22" s="45"/>
      <c r="CC22" s="45"/>
      <c r="CD22" s="45"/>
      <c r="CE22" s="45"/>
      <c r="CF22" s="39">
        <f t="shared" si="9"/>
        <v>0</v>
      </c>
      <c r="CG22" s="39">
        <f t="shared" si="10"/>
        <v>0</v>
      </c>
      <c r="CH22" s="39"/>
      <c r="CI22" s="39"/>
      <c r="CJ22" s="39"/>
      <c r="CK22" s="45"/>
      <c r="CL22" s="45"/>
      <c r="CM22" s="43"/>
      <c r="CN22" s="43"/>
      <c r="CO22" s="43"/>
      <c r="CP22" s="43"/>
      <c r="CQ22" s="39"/>
      <c r="CR22" s="43"/>
      <c r="CS22" s="43"/>
      <c r="CT22" s="43"/>
      <c r="CU22" s="45"/>
      <c r="CV22" s="45"/>
      <c r="CW22" s="43"/>
      <c r="CX22" s="39"/>
      <c r="CY22" s="43"/>
      <c r="CZ22" s="39">
        <v>171.123</v>
      </c>
      <c r="DA22" s="39">
        <v>171.091</v>
      </c>
      <c r="DB22" s="39"/>
      <c r="DC22" s="39"/>
      <c r="DD22" s="45"/>
      <c r="DE22" s="45"/>
      <c r="DF22" s="39">
        <f t="shared" si="11"/>
        <v>171.123</v>
      </c>
      <c r="DG22" s="39">
        <f t="shared" si="12"/>
        <v>171.091</v>
      </c>
      <c r="DH22" s="39"/>
      <c r="DI22" s="39"/>
      <c r="DJ22" s="39">
        <v>0</v>
      </c>
      <c r="DK22" s="39">
        <f t="shared" si="13"/>
        <v>0</v>
      </c>
      <c r="DL22" s="39"/>
      <c r="DM22" s="39"/>
      <c r="DN22" s="43"/>
      <c r="DO22" s="43"/>
      <c r="DP22" s="39">
        <f t="shared" si="14"/>
        <v>0</v>
      </c>
      <c r="DQ22" s="39">
        <f t="shared" si="15"/>
        <v>0</v>
      </c>
      <c r="DR22" s="39"/>
      <c r="DS22" s="39"/>
      <c r="DT22" s="43"/>
      <c r="DU22" s="43"/>
      <c r="DV22" s="43"/>
      <c r="DW22" s="43"/>
      <c r="DX22" s="43"/>
      <c r="DY22" s="43"/>
      <c r="DZ22" s="39"/>
      <c r="EA22" s="39"/>
      <c r="EB22" s="43"/>
      <c r="EC22" s="43"/>
      <c r="ED22" s="43"/>
      <c r="EE22" s="43"/>
      <c r="EF22" s="39">
        <v>0</v>
      </c>
      <c r="EG22" s="43"/>
      <c r="EH22" s="43">
        <v>1442</v>
      </c>
      <c r="EI22" s="39">
        <v>1442</v>
      </c>
      <c r="EJ22" s="39">
        <v>200</v>
      </c>
      <c r="EK22" s="43">
        <v>200</v>
      </c>
      <c r="EL22" s="43"/>
      <c r="EM22" s="43"/>
      <c r="EN22" s="45"/>
      <c r="EO22" s="45"/>
      <c r="EP22" s="43"/>
      <c r="EQ22" s="43"/>
      <c r="ER22" s="43"/>
      <c r="ES22" s="43"/>
      <c r="ET22" s="135"/>
      <c r="EU22" s="135"/>
      <c r="EV22" s="135"/>
      <c r="EW22" s="135"/>
      <c r="EX22" s="43"/>
      <c r="EY22" s="43"/>
      <c r="EZ22" s="43"/>
      <c r="FA22" s="43"/>
      <c r="FB22" s="37">
        <f t="shared" si="16"/>
        <v>1642</v>
      </c>
      <c r="FC22" s="37">
        <f t="shared" si="17"/>
        <v>1642</v>
      </c>
      <c r="FD22" s="39"/>
      <c r="FE22" s="39"/>
      <c r="FF22" s="43"/>
      <c r="FG22" s="43"/>
      <c r="FH22" s="132">
        <f t="shared" si="18"/>
        <v>0</v>
      </c>
      <c r="FI22" s="132">
        <f t="shared" si="19"/>
        <v>0</v>
      </c>
      <c r="FJ22" s="39"/>
      <c r="FK22" s="39"/>
      <c r="FL22" s="43"/>
      <c r="FM22" s="43"/>
      <c r="FN22" s="43"/>
      <c r="FO22" s="43"/>
      <c r="FP22" s="43"/>
      <c r="FQ22" s="43"/>
      <c r="FR22" s="39"/>
      <c r="FS22" s="135"/>
      <c r="FT22" s="43"/>
      <c r="FU22" s="43"/>
      <c r="FV22" s="43"/>
      <c r="FW22" s="43"/>
      <c r="FX22" s="43"/>
      <c r="FY22" s="43"/>
      <c r="FZ22" s="43"/>
      <c r="GA22" s="43"/>
      <c r="GB22" s="43"/>
      <c r="GC22" s="43"/>
      <c r="GD22" s="135"/>
      <c r="GE22" s="135"/>
      <c r="GF22" s="43"/>
      <c r="GG22" s="43"/>
      <c r="GH22" s="43"/>
      <c r="GI22" s="43"/>
      <c r="GJ22" s="43"/>
      <c r="GK22" s="43"/>
      <c r="GL22" s="43"/>
      <c r="GM22" s="43"/>
      <c r="GN22" s="43"/>
      <c r="GO22" s="43"/>
      <c r="GP22" s="43"/>
      <c r="GQ22" s="43"/>
      <c r="GR22" s="43"/>
      <c r="GS22" s="43"/>
      <c r="GT22" s="43"/>
      <c r="GU22" s="43"/>
      <c r="GV22" s="43"/>
      <c r="GW22" s="43"/>
      <c r="GX22" s="45"/>
      <c r="GY22" s="45"/>
      <c r="GZ22" s="43"/>
      <c r="HA22" s="43"/>
      <c r="HB22" s="43"/>
      <c r="HC22" s="43"/>
      <c r="HD22" s="39">
        <f t="shared" si="20"/>
        <v>0</v>
      </c>
      <c r="HE22" s="39">
        <f t="shared" si="21"/>
        <v>0</v>
      </c>
      <c r="HF22" s="39"/>
      <c r="HG22" s="39"/>
      <c r="HH22" s="39"/>
      <c r="HI22" s="43"/>
      <c r="HJ22" s="43"/>
      <c r="HK22" s="43"/>
      <c r="HL22" s="43"/>
      <c r="HM22" s="43"/>
      <c r="HN22" s="136"/>
      <c r="HO22" s="136"/>
      <c r="HP22" s="39">
        <f t="shared" si="22"/>
        <v>0</v>
      </c>
      <c r="HQ22" s="39">
        <f t="shared" si="23"/>
        <v>0</v>
      </c>
      <c r="HR22" s="39"/>
      <c r="HS22" s="39"/>
      <c r="HT22" s="39"/>
      <c r="HU22" s="43"/>
      <c r="HV22" s="39"/>
      <c r="HW22" s="39"/>
      <c r="HX22" s="39">
        <f t="shared" si="24"/>
        <v>0</v>
      </c>
      <c r="HY22" s="39">
        <f t="shared" si="25"/>
        <v>0</v>
      </c>
    </row>
    <row r="23" spans="1:233" ht="12.75">
      <c r="A23" s="14" t="s">
        <v>159</v>
      </c>
      <c r="B23" s="34"/>
      <c r="C23" s="34"/>
      <c r="D23" s="39">
        <f>249+249+248+207+207+207+207+207+207+165.7+165.7+165.6</f>
        <v>2484.9999999999995</v>
      </c>
      <c r="E23" s="39">
        <f>249+249+248+207+207+207+207+207+207+165.7+165.7+165.6</f>
        <v>2484.9999999999995</v>
      </c>
      <c r="F23" s="39"/>
      <c r="G23" s="39"/>
      <c r="H23" s="34"/>
      <c r="I23" s="34"/>
      <c r="J23" s="34"/>
      <c r="K23" s="34"/>
      <c r="L23" s="34"/>
      <c r="M23" s="34"/>
      <c r="N23" s="34"/>
      <c r="O23" s="34"/>
      <c r="P23" s="33"/>
      <c r="Q23" s="33"/>
      <c r="R23" s="39"/>
      <c r="S23" s="34"/>
      <c r="T23" s="39"/>
      <c r="U23" s="39"/>
      <c r="V23" s="39"/>
      <c r="W23" s="34"/>
      <c r="X23" s="34"/>
      <c r="Y23" s="34"/>
      <c r="Z23" s="34"/>
      <c r="AA23" s="34"/>
      <c r="AB23" s="34"/>
      <c r="AC23" s="34"/>
      <c r="AD23" s="34"/>
      <c r="AE23" s="34"/>
      <c r="AF23" s="39">
        <v>439</v>
      </c>
      <c r="AG23" s="48">
        <f>36.6+36.6+36.6+36.6+36.6+13+40.3+38.8+29.8+37.9+38+58.2</f>
        <v>439</v>
      </c>
      <c r="AH23" s="126">
        <f t="shared" si="5"/>
        <v>2923.9999999999995</v>
      </c>
      <c r="AI23" s="126">
        <f t="shared" si="6"/>
        <v>2923.9999999999995</v>
      </c>
      <c r="AJ23" s="43"/>
      <c r="AK23" s="43"/>
      <c r="AL23" s="134"/>
      <c r="AM23" s="41"/>
      <c r="AN23" s="41"/>
      <c r="AO23" s="41"/>
      <c r="AP23" s="41"/>
      <c r="AQ23" s="41"/>
      <c r="AR23" s="39"/>
      <c r="AS23" s="39"/>
      <c r="AT23" s="43"/>
      <c r="AU23" s="43"/>
      <c r="AV23" s="43"/>
      <c r="AW23" s="43"/>
      <c r="AX23" s="43"/>
      <c r="AY23" s="43"/>
      <c r="AZ23" s="39">
        <f t="shared" si="7"/>
        <v>0</v>
      </c>
      <c r="BA23" s="39">
        <f t="shared" si="8"/>
        <v>0</v>
      </c>
      <c r="BB23" s="39">
        <v>0</v>
      </c>
      <c r="BC23" s="39">
        <v>0</v>
      </c>
      <c r="BD23" s="39"/>
      <c r="BE23" s="43"/>
      <c r="BF23" s="43"/>
      <c r="BG23" s="43"/>
      <c r="BH23" s="43"/>
      <c r="BI23" s="43"/>
      <c r="BJ23" s="43"/>
      <c r="BK23" s="43"/>
      <c r="BL23" s="43"/>
      <c r="BM23" s="43"/>
      <c r="BN23" s="45"/>
      <c r="BO23" s="45"/>
      <c r="BP23" s="45"/>
      <c r="BQ23" s="45"/>
      <c r="BR23" s="43"/>
      <c r="BS23" s="43"/>
      <c r="BT23" s="43"/>
      <c r="BU23" s="43"/>
      <c r="BV23" s="45"/>
      <c r="BW23" s="45"/>
      <c r="BX23" s="43"/>
      <c r="BY23" s="45"/>
      <c r="BZ23" s="43"/>
      <c r="CA23" s="43"/>
      <c r="CB23" s="45"/>
      <c r="CC23" s="45"/>
      <c r="CD23" s="45"/>
      <c r="CE23" s="45"/>
      <c r="CF23" s="39">
        <f t="shared" si="9"/>
        <v>0</v>
      </c>
      <c r="CG23" s="39">
        <f t="shared" si="10"/>
        <v>0</v>
      </c>
      <c r="CH23" s="39"/>
      <c r="CI23" s="39"/>
      <c r="CJ23" s="39"/>
      <c r="CK23" s="45"/>
      <c r="CL23" s="45"/>
      <c r="CM23" s="43"/>
      <c r="CN23" s="43"/>
      <c r="CO23" s="43"/>
      <c r="CP23" s="43"/>
      <c r="CQ23" s="39"/>
      <c r="CR23" s="43"/>
      <c r="CS23" s="43"/>
      <c r="CT23" s="43"/>
      <c r="CU23" s="45"/>
      <c r="CV23" s="45"/>
      <c r="CW23" s="43"/>
      <c r="CX23" s="39"/>
      <c r="CY23" s="43"/>
      <c r="CZ23" s="39">
        <v>28.52</v>
      </c>
      <c r="DA23" s="39">
        <v>28.52</v>
      </c>
      <c r="DB23" s="39"/>
      <c r="DC23" s="39"/>
      <c r="DD23" s="45"/>
      <c r="DE23" s="45"/>
      <c r="DF23" s="39">
        <f t="shared" si="11"/>
        <v>28.52</v>
      </c>
      <c r="DG23" s="39">
        <f t="shared" si="12"/>
        <v>28.52</v>
      </c>
      <c r="DH23" s="39"/>
      <c r="DI23" s="39"/>
      <c r="DJ23" s="39">
        <v>0</v>
      </c>
      <c r="DK23" s="39">
        <f t="shared" si="13"/>
        <v>0</v>
      </c>
      <c r="DL23" s="39"/>
      <c r="DM23" s="39"/>
      <c r="DN23" s="43"/>
      <c r="DO23" s="43"/>
      <c r="DP23" s="39">
        <f t="shared" si="14"/>
        <v>0</v>
      </c>
      <c r="DQ23" s="39">
        <f t="shared" si="15"/>
        <v>0</v>
      </c>
      <c r="DR23" s="39"/>
      <c r="DS23" s="39"/>
      <c r="DT23" s="43"/>
      <c r="DU23" s="43"/>
      <c r="DV23" s="43"/>
      <c r="DW23" s="43"/>
      <c r="DX23" s="43"/>
      <c r="DY23" s="43"/>
      <c r="DZ23" s="39"/>
      <c r="EA23" s="39"/>
      <c r="EB23" s="43"/>
      <c r="EC23" s="43"/>
      <c r="ED23" s="43"/>
      <c r="EE23" s="43"/>
      <c r="EF23" s="39">
        <v>0</v>
      </c>
      <c r="EG23" s="43"/>
      <c r="EH23" s="43">
        <v>4129</v>
      </c>
      <c r="EI23" s="39">
        <v>4129</v>
      </c>
      <c r="EJ23" s="39">
        <v>0</v>
      </c>
      <c r="EK23" s="43">
        <v>0</v>
      </c>
      <c r="EL23" s="43"/>
      <c r="EM23" s="43"/>
      <c r="EN23" s="45"/>
      <c r="EO23" s="45"/>
      <c r="EP23" s="43"/>
      <c r="EQ23" s="43"/>
      <c r="ER23" s="43"/>
      <c r="ES23" s="43"/>
      <c r="ET23" s="135"/>
      <c r="EU23" s="135"/>
      <c r="EV23" s="135"/>
      <c r="EW23" s="135"/>
      <c r="EX23" s="43"/>
      <c r="EY23" s="43"/>
      <c r="EZ23" s="43"/>
      <c r="FA23" s="43"/>
      <c r="FB23" s="37">
        <f t="shared" si="16"/>
        <v>4129</v>
      </c>
      <c r="FC23" s="37">
        <f t="shared" si="17"/>
        <v>4129</v>
      </c>
      <c r="FD23" s="39"/>
      <c r="FE23" s="39"/>
      <c r="FF23" s="43"/>
      <c r="FG23" s="43"/>
      <c r="FH23" s="132">
        <f t="shared" si="18"/>
        <v>0</v>
      </c>
      <c r="FI23" s="132">
        <f t="shared" si="19"/>
        <v>0</v>
      </c>
      <c r="FJ23" s="39"/>
      <c r="FK23" s="39"/>
      <c r="FL23" s="43"/>
      <c r="FM23" s="43"/>
      <c r="FN23" s="43"/>
      <c r="FO23" s="43"/>
      <c r="FP23" s="43"/>
      <c r="FQ23" s="43"/>
      <c r="FR23" s="39"/>
      <c r="FS23" s="135"/>
      <c r="FT23" s="43"/>
      <c r="FU23" s="43"/>
      <c r="FV23" s="43"/>
      <c r="FW23" s="43"/>
      <c r="FX23" s="43"/>
      <c r="FY23" s="43"/>
      <c r="FZ23" s="43"/>
      <c r="GA23" s="43"/>
      <c r="GB23" s="43"/>
      <c r="GC23" s="43"/>
      <c r="GD23" s="135"/>
      <c r="GE23" s="135"/>
      <c r="GF23" s="43"/>
      <c r="GG23" s="43"/>
      <c r="GH23" s="43"/>
      <c r="GI23" s="43"/>
      <c r="GJ23" s="43"/>
      <c r="GK23" s="43"/>
      <c r="GL23" s="43"/>
      <c r="GM23" s="43"/>
      <c r="GN23" s="43"/>
      <c r="GO23" s="43"/>
      <c r="GP23" s="43"/>
      <c r="GQ23" s="43"/>
      <c r="GR23" s="43"/>
      <c r="GS23" s="43"/>
      <c r="GT23" s="43"/>
      <c r="GU23" s="43"/>
      <c r="GV23" s="43"/>
      <c r="GW23" s="43"/>
      <c r="GX23" s="45"/>
      <c r="GY23" s="45"/>
      <c r="GZ23" s="43"/>
      <c r="HA23" s="43"/>
      <c r="HB23" s="43"/>
      <c r="HC23" s="43"/>
      <c r="HD23" s="39">
        <f t="shared" si="20"/>
        <v>0</v>
      </c>
      <c r="HE23" s="39">
        <f t="shared" si="21"/>
        <v>0</v>
      </c>
      <c r="HF23" s="39"/>
      <c r="HG23" s="39"/>
      <c r="HH23" s="39"/>
      <c r="HI23" s="43"/>
      <c r="HJ23" s="43"/>
      <c r="HK23" s="43"/>
      <c r="HL23" s="43"/>
      <c r="HM23" s="43"/>
      <c r="HN23" s="136"/>
      <c r="HO23" s="136"/>
      <c r="HP23" s="39">
        <f t="shared" si="22"/>
        <v>0</v>
      </c>
      <c r="HQ23" s="39">
        <f t="shared" si="23"/>
        <v>0</v>
      </c>
      <c r="HR23" s="39"/>
      <c r="HS23" s="39"/>
      <c r="HT23" s="39"/>
      <c r="HU23" s="43"/>
      <c r="HV23" s="39"/>
      <c r="HW23" s="39"/>
      <c r="HX23" s="39">
        <f t="shared" si="24"/>
        <v>0</v>
      </c>
      <c r="HY23" s="39">
        <f t="shared" si="25"/>
        <v>0</v>
      </c>
    </row>
    <row r="24" spans="1:233" ht="12.75" customHeight="1">
      <c r="A24" s="14" t="s">
        <v>160</v>
      </c>
      <c r="B24" s="34"/>
      <c r="C24" s="34"/>
      <c r="D24" s="39">
        <f>237+237+236+197+197+197+197+197+197+157.7+157.7+157.6</f>
        <v>2364.9999999999995</v>
      </c>
      <c r="E24" s="39">
        <f>237+237+236+197+197+197+197+197+197+157.7+157.7+157.6</f>
        <v>2364.9999999999995</v>
      </c>
      <c r="F24" s="39"/>
      <c r="G24" s="39"/>
      <c r="H24" s="34"/>
      <c r="I24" s="34"/>
      <c r="J24" s="34"/>
      <c r="K24" s="34"/>
      <c r="L24" s="34"/>
      <c r="M24" s="34"/>
      <c r="N24" s="34"/>
      <c r="O24" s="34"/>
      <c r="P24" s="33"/>
      <c r="Q24" s="33"/>
      <c r="R24" s="39">
        <v>900</v>
      </c>
      <c r="S24" s="39">
        <f>897.32128</f>
        <v>897.32128</v>
      </c>
      <c r="T24" s="39">
        <v>297.99766999999997</v>
      </c>
      <c r="U24" s="39">
        <v>297.99767</v>
      </c>
      <c r="V24" s="39"/>
      <c r="W24" s="34"/>
      <c r="X24" s="34"/>
      <c r="Y24" s="34"/>
      <c r="Z24" s="34"/>
      <c r="AA24" s="34"/>
      <c r="AB24" s="34"/>
      <c r="AC24" s="34"/>
      <c r="AD24" s="34"/>
      <c r="AE24" s="34"/>
      <c r="AF24" s="39">
        <v>439</v>
      </c>
      <c r="AG24" s="48">
        <f>36.6+36.6+36.6+36.6+36.6+38.6+13+121.3+40+43.1</f>
        <v>439</v>
      </c>
      <c r="AH24" s="126">
        <f t="shared" si="5"/>
        <v>4001.9976699999997</v>
      </c>
      <c r="AI24" s="126">
        <f t="shared" si="6"/>
        <v>3999.31895</v>
      </c>
      <c r="AJ24" s="43"/>
      <c r="AK24" s="43"/>
      <c r="AL24" s="134"/>
      <c r="AM24" s="41"/>
      <c r="AN24" s="41"/>
      <c r="AO24" s="41"/>
      <c r="AP24" s="41"/>
      <c r="AQ24" s="41"/>
      <c r="AR24" s="39"/>
      <c r="AS24" s="39"/>
      <c r="AT24" s="43"/>
      <c r="AU24" s="43"/>
      <c r="AV24" s="43"/>
      <c r="AW24" s="43"/>
      <c r="AX24" s="43"/>
      <c r="AY24" s="43"/>
      <c r="AZ24" s="39">
        <f t="shared" si="7"/>
        <v>0</v>
      </c>
      <c r="BA24" s="39">
        <f t="shared" si="8"/>
        <v>0</v>
      </c>
      <c r="BB24" s="39">
        <v>0</v>
      </c>
      <c r="BC24" s="39">
        <v>0</v>
      </c>
      <c r="BD24" s="39"/>
      <c r="BE24" s="43"/>
      <c r="BF24" s="43"/>
      <c r="BG24" s="43"/>
      <c r="BH24" s="43"/>
      <c r="BI24" s="43"/>
      <c r="BJ24" s="43"/>
      <c r="BK24" s="43"/>
      <c r="BL24" s="43"/>
      <c r="BM24" s="43"/>
      <c r="BN24" s="45"/>
      <c r="BO24" s="45"/>
      <c r="BP24" s="45"/>
      <c r="BQ24" s="45"/>
      <c r="BR24" s="43"/>
      <c r="BS24" s="43"/>
      <c r="BT24" s="43"/>
      <c r="BU24" s="43"/>
      <c r="BV24" s="45"/>
      <c r="BW24" s="45"/>
      <c r="BX24" s="43"/>
      <c r="BY24" s="45"/>
      <c r="BZ24" s="43"/>
      <c r="CA24" s="43"/>
      <c r="CB24" s="45"/>
      <c r="CC24" s="45"/>
      <c r="CD24" s="45"/>
      <c r="CE24" s="45"/>
      <c r="CF24" s="39">
        <f t="shared" si="9"/>
        <v>0</v>
      </c>
      <c r="CG24" s="39">
        <f t="shared" si="10"/>
        <v>0</v>
      </c>
      <c r="CH24" s="39"/>
      <c r="CI24" s="39"/>
      <c r="CJ24" s="39"/>
      <c r="CK24" s="45"/>
      <c r="CL24" s="45"/>
      <c r="CM24" s="43"/>
      <c r="CN24" s="43"/>
      <c r="CO24" s="43"/>
      <c r="CP24" s="43"/>
      <c r="CQ24" s="39"/>
      <c r="CR24" s="43"/>
      <c r="CS24" s="43"/>
      <c r="CT24" s="43"/>
      <c r="CU24" s="45"/>
      <c r="CV24" s="45"/>
      <c r="CW24" s="43"/>
      <c r="CX24" s="39"/>
      <c r="CY24" s="43"/>
      <c r="CZ24" s="39"/>
      <c r="DA24" s="45"/>
      <c r="DB24" s="45"/>
      <c r="DC24" s="45"/>
      <c r="DD24" s="45"/>
      <c r="DE24" s="45"/>
      <c r="DF24" s="39">
        <f t="shared" si="11"/>
        <v>0</v>
      </c>
      <c r="DG24" s="39">
        <f t="shared" si="12"/>
        <v>0</v>
      </c>
      <c r="DH24" s="39"/>
      <c r="DI24" s="39"/>
      <c r="DJ24" s="39">
        <v>0</v>
      </c>
      <c r="DK24" s="39">
        <f t="shared" si="13"/>
        <v>0</v>
      </c>
      <c r="DL24" s="39"/>
      <c r="DM24" s="39"/>
      <c r="DN24" s="43"/>
      <c r="DO24" s="43"/>
      <c r="DP24" s="39">
        <f t="shared" si="14"/>
        <v>0</v>
      </c>
      <c r="DQ24" s="39">
        <f t="shared" si="15"/>
        <v>0</v>
      </c>
      <c r="DR24" s="39"/>
      <c r="DS24" s="39"/>
      <c r="DT24" s="43"/>
      <c r="DU24" s="43"/>
      <c r="DV24" s="43"/>
      <c r="DW24" s="43"/>
      <c r="DX24" s="43"/>
      <c r="DY24" s="43"/>
      <c r="DZ24" s="39"/>
      <c r="EA24" s="39"/>
      <c r="EB24" s="43"/>
      <c r="EC24" s="43"/>
      <c r="ED24" s="43"/>
      <c r="EE24" s="43"/>
      <c r="EF24" s="39">
        <v>0</v>
      </c>
      <c r="EG24" s="43"/>
      <c r="EH24" s="43">
        <v>2199</v>
      </c>
      <c r="EI24" s="39">
        <v>2199</v>
      </c>
      <c r="EJ24" s="39">
        <v>0</v>
      </c>
      <c r="EK24" s="43">
        <v>0</v>
      </c>
      <c r="EL24" s="43"/>
      <c r="EM24" s="43"/>
      <c r="EN24" s="45"/>
      <c r="EO24" s="45"/>
      <c r="EP24" s="43"/>
      <c r="EQ24" s="43"/>
      <c r="ER24" s="43"/>
      <c r="ES24" s="43"/>
      <c r="ET24" s="135"/>
      <c r="EU24" s="135"/>
      <c r="EV24" s="135"/>
      <c r="EW24" s="135"/>
      <c r="EX24" s="43"/>
      <c r="EY24" s="43"/>
      <c r="EZ24" s="43"/>
      <c r="FA24" s="43"/>
      <c r="FB24" s="37">
        <f t="shared" si="16"/>
        <v>2199</v>
      </c>
      <c r="FC24" s="37">
        <f t="shared" si="17"/>
        <v>2199</v>
      </c>
      <c r="FD24" s="39"/>
      <c r="FE24" s="39"/>
      <c r="FF24" s="43"/>
      <c r="FG24" s="43"/>
      <c r="FH24" s="132">
        <f t="shared" si="18"/>
        <v>0</v>
      </c>
      <c r="FI24" s="132">
        <f t="shared" si="19"/>
        <v>0</v>
      </c>
      <c r="FJ24" s="39"/>
      <c r="FK24" s="39"/>
      <c r="FL24" s="43"/>
      <c r="FM24" s="43"/>
      <c r="FN24" s="43"/>
      <c r="FO24" s="43"/>
      <c r="FP24" s="43"/>
      <c r="FQ24" s="43"/>
      <c r="FR24" s="39"/>
      <c r="FS24" s="135"/>
      <c r="FT24" s="43"/>
      <c r="FU24" s="43"/>
      <c r="FV24" s="43"/>
      <c r="FW24" s="43"/>
      <c r="FX24" s="43"/>
      <c r="FY24" s="43"/>
      <c r="FZ24" s="43"/>
      <c r="GA24" s="43"/>
      <c r="GB24" s="43"/>
      <c r="GC24" s="43"/>
      <c r="GD24" s="135"/>
      <c r="GE24" s="135"/>
      <c r="GF24" s="43"/>
      <c r="GG24" s="43"/>
      <c r="GH24" s="43"/>
      <c r="GI24" s="43"/>
      <c r="GJ24" s="43"/>
      <c r="GK24" s="43"/>
      <c r="GL24" s="43"/>
      <c r="GM24" s="43"/>
      <c r="GN24" s="43"/>
      <c r="GO24" s="43"/>
      <c r="GP24" s="43"/>
      <c r="GQ24" s="43"/>
      <c r="GR24" s="43"/>
      <c r="GS24" s="43"/>
      <c r="GT24" s="43"/>
      <c r="GU24" s="43"/>
      <c r="GV24" s="43"/>
      <c r="GW24" s="43"/>
      <c r="GX24" s="45"/>
      <c r="GY24" s="45"/>
      <c r="GZ24" s="43"/>
      <c r="HA24" s="43"/>
      <c r="HB24" s="43"/>
      <c r="HC24" s="43"/>
      <c r="HD24" s="39">
        <f t="shared" si="20"/>
        <v>0</v>
      </c>
      <c r="HE24" s="39">
        <f t="shared" si="21"/>
        <v>0</v>
      </c>
      <c r="HF24" s="39"/>
      <c r="HG24" s="39"/>
      <c r="HH24" s="39"/>
      <c r="HI24" s="43"/>
      <c r="HJ24" s="43"/>
      <c r="HK24" s="43"/>
      <c r="HL24" s="43"/>
      <c r="HM24" s="43"/>
      <c r="HN24" s="136"/>
      <c r="HO24" s="136"/>
      <c r="HP24" s="39">
        <f t="shared" si="22"/>
        <v>0</v>
      </c>
      <c r="HQ24" s="39">
        <f t="shared" si="23"/>
        <v>0</v>
      </c>
      <c r="HR24" s="39"/>
      <c r="HS24" s="39"/>
      <c r="HT24" s="39"/>
      <c r="HU24" s="43"/>
      <c r="HV24" s="39"/>
      <c r="HW24" s="39"/>
      <c r="HX24" s="39">
        <f t="shared" si="24"/>
        <v>0</v>
      </c>
      <c r="HY24" s="39">
        <f t="shared" si="25"/>
        <v>0</v>
      </c>
    </row>
    <row r="25" spans="1:233" ht="12.75">
      <c r="A25" s="14" t="s">
        <v>223</v>
      </c>
      <c r="B25" s="34"/>
      <c r="C25" s="34"/>
      <c r="D25" s="39">
        <f>542+542+543+452+452+452+452+452+452+361.7+361.7+361.6</f>
        <v>5424</v>
      </c>
      <c r="E25" s="39">
        <f>542+542+543+452+452+452+452+452+452+361.7+361.7+361.6</f>
        <v>5424</v>
      </c>
      <c r="F25" s="39"/>
      <c r="G25" s="39"/>
      <c r="H25" s="34"/>
      <c r="I25" s="34"/>
      <c r="J25" s="34"/>
      <c r="K25" s="34"/>
      <c r="L25" s="34"/>
      <c r="M25" s="34"/>
      <c r="N25" s="34"/>
      <c r="O25" s="34"/>
      <c r="P25" s="33"/>
      <c r="Q25" s="33"/>
      <c r="R25" s="39">
        <v>30</v>
      </c>
      <c r="S25" s="39">
        <f>27.95063</f>
        <v>27.95063</v>
      </c>
      <c r="T25" s="39">
        <v>9.88927</v>
      </c>
      <c r="U25" s="39">
        <v>9.88927</v>
      </c>
      <c r="V25" s="39">
        <v>184.75</v>
      </c>
      <c r="W25" s="39">
        <f>184.75</f>
        <v>184.75</v>
      </c>
      <c r="X25" s="34"/>
      <c r="Y25" s="34"/>
      <c r="Z25" s="34"/>
      <c r="AA25" s="34"/>
      <c r="AB25" s="34"/>
      <c r="AC25" s="34"/>
      <c r="AD25" s="34"/>
      <c r="AE25" s="34"/>
      <c r="AF25" s="39">
        <v>147</v>
      </c>
      <c r="AG25" s="48">
        <f>12.3+12.3+12.3+12.3+12.3+11.2+10.7+18.2+9.4+10+26</f>
        <v>147</v>
      </c>
      <c r="AH25" s="126">
        <f t="shared" si="5"/>
        <v>5795.63927</v>
      </c>
      <c r="AI25" s="126">
        <f t="shared" si="6"/>
        <v>5793.5899</v>
      </c>
      <c r="AJ25" s="43"/>
      <c r="AK25" s="43"/>
      <c r="AL25" s="134"/>
      <c r="AM25" s="41"/>
      <c r="AN25" s="41"/>
      <c r="AO25" s="41"/>
      <c r="AP25" s="41"/>
      <c r="AQ25" s="41"/>
      <c r="AR25" s="39"/>
      <c r="AS25" s="39"/>
      <c r="AT25" s="43"/>
      <c r="AU25" s="43"/>
      <c r="AV25" s="43"/>
      <c r="AW25" s="43"/>
      <c r="AX25" s="43"/>
      <c r="AY25" s="43"/>
      <c r="AZ25" s="39">
        <f t="shared" si="7"/>
        <v>0</v>
      </c>
      <c r="BA25" s="39">
        <f t="shared" si="8"/>
        <v>0</v>
      </c>
      <c r="BB25" s="39">
        <v>0</v>
      </c>
      <c r="BC25" s="39">
        <v>0</v>
      </c>
      <c r="BD25" s="39">
        <v>134.6</v>
      </c>
      <c r="BE25" s="43">
        <v>110.9</v>
      </c>
      <c r="BF25" s="43"/>
      <c r="BG25" s="43"/>
      <c r="BH25" s="43"/>
      <c r="BI25" s="43"/>
      <c r="BJ25" s="43"/>
      <c r="BK25" s="43"/>
      <c r="BL25" s="43"/>
      <c r="BM25" s="43"/>
      <c r="BN25" s="45"/>
      <c r="BO25" s="45"/>
      <c r="BP25" s="45"/>
      <c r="BQ25" s="45"/>
      <c r="BR25" s="43"/>
      <c r="BS25" s="43"/>
      <c r="BT25" s="43"/>
      <c r="BU25" s="43"/>
      <c r="BV25" s="45"/>
      <c r="BW25" s="45"/>
      <c r="BX25" s="43"/>
      <c r="BY25" s="45"/>
      <c r="BZ25" s="43"/>
      <c r="CA25" s="43"/>
      <c r="CB25" s="45"/>
      <c r="CC25" s="45"/>
      <c r="CD25" s="45"/>
      <c r="CE25" s="45"/>
      <c r="CF25" s="39">
        <f t="shared" si="9"/>
        <v>134.6</v>
      </c>
      <c r="CG25" s="39">
        <f t="shared" si="10"/>
        <v>110.9</v>
      </c>
      <c r="CH25" s="39"/>
      <c r="CI25" s="39"/>
      <c r="CJ25" s="39"/>
      <c r="CK25" s="45"/>
      <c r="CL25" s="45"/>
      <c r="CM25" s="43"/>
      <c r="CN25" s="43"/>
      <c r="CO25" s="43"/>
      <c r="CP25" s="43"/>
      <c r="CQ25" s="39"/>
      <c r="CR25" s="43"/>
      <c r="CS25" s="43"/>
      <c r="CT25" s="43"/>
      <c r="CU25" s="45"/>
      <c r="CV25" s="45"/>
      <c r="CW25" s="43"/>
      <c r="CX25" s="39"/>
      <c r="CY25" s="43"/>
      <c r="CZ25" s="39">
        <v>71.301</v>
      </c>
      <c r="DA25" s="39">
        <v>71.301</v>
      </c>
      <c r="DB25" s="39"/>
      <c r="DC25" s="39"/>
      <c r="DD25" s="45"/>
      <c r="DE25" s="45"/>
      <c r="DF25" s="39">
        <f t="shared" si="11"/>
        <v>71.301</v>
      </c>
      <c r="DG25" s="39">
        <f t="shared" si="12"/>
        <v>71.301</v>
      </c>
      <c r="DH25" s="39"/>
      <c r="DI25" s="39"/>
      <c r="DJ25" s="39">
        <v>0</v>
      </c>
      <c r="DK25" s="39">
        <f t="shared" si="13"/>
        <v>0</v>
      </c>
      <c r="DL25" s="39"/>
      <c r="DM25" s="39"/>
      <c r="DN25" s="43"/>
      <c r="DO25" s="43"/>
      <c r="DP25" s="39">
        <f t="shared" si="14"/>
        <v>0</v>
      </c>
      <c r="DQ25" s="39">
        <f t="shared" si="15"/>
        <v>0</v>
      </c>
      <c r="DR25" s="39"/>
      <c r="DS25" s="39"/>
      <c r="DT25" s="43"/>
      <c r="DU25" s="43"/>
      <c r="DV25" s="43"/>
      <c r="DW25" s="43"/>
      <c r="DX25" s="43"/>
      <c r="DY25" s="43"/>
      <c r="DZ25" s="39"/>
      <c r="EA25" s="39"/>
      <c r="EB25" s="43"/>
      <c r="EC25" s="43"/>
      <c r="ED25" s="43">
        <v>35</v>
      </c>
      <c r="EE25" s="43">
        <v>35</v>
      </c>
      <c r="EF25" s="39">
        <v>5000</v>
      </c>
      <c r="EG25" s="43">
        <v>5000</v>
      </c>
      <c r="EH25" s="43">
        <v>4574.3</v>
      </c>
      <c r="EI25" s="39">
        <v>4574.3</v>
      </c>
      <c r="EJ25" s="39">
        <v>160</v>
      </c>
      <c r="EK25" s="43">
        <v>160</v>
      </c>
      <c r="EL25" s="43"/>
      <c r="EM25" s="43"/>
      <c r="EN25" s="45"/>
      <c r="EO25" s="45"/>
      <c r="EP25" s="43"/>
      <c r="EQ25" s="43"/>
      <c r="ER25" s="43"/>
      <c r="ES25" s="43"/>
      <c r="ET25" s="135"/>
      <c r="EU25" s="135"/>
      <c r="EV25" s="135">
        <v>13.4</v>
      </c>
      <c r="EW25" s="135">
        <v>13.4</v>
      </c>
      <c r="EX25" s="43"/>
      <c r="EY25" s="43"/>
      <c r="EZ25" s="43"/>
      <c r="FA25" s="43"/>
      <c r="FB25" s="37">
        <f t="shared" si="16"/>
        <v>9782.699999999999</v>
      </c>
      <c r="FC25" s="37">
        <f t="shared" si="17"/>
        <v>9782.699999999999</v>
      </c>
      <c r="FD25" s="39"/>
      <c r="FE25" s="39"/>
      <c r="FF25" s="43"/>
      <c r="FG25" s="43"/>
      <c r="FH25" s="132">
        <f t="shared" si="18"/>
        <v>0</v>
      </c>
      <c r="FI25" s="132">
        <f t="shared" si="19"/>
        <v>0</v>
      </c>
      <c r="FJ25" s="39"/>
      <c r="FK25" s="39"/>
      <c r="FL25" s="43"/>
      <c r="FM25" s="43"/>
      <c r="FN25" s="43"/>
      <c r="FO25" s="43"/>
      <c r="FP25" s="43"/>
      <c r="FQ25" s="43"/>
      <c r="FR25" s="39"/>
      <c r="FS25" s="135"/>
      <c r="FT25" s="43"/>
      <c r="FU25" s="43"/>
      <c r="FV25" s="43"/>
      <c r="FW25" s="43"/>
      <c r="FX25" s="43"/>
      <c r="FY25" s="43"/>
      <c r="FZ25" s="43"/>
      <c r="GA25" s="43"/>
      <c r="GB25" s="43"/>
      <c r="GC25" s="43"/>
      <c r="GD25" s="135"/>
      <c r="GE25" s="135"/>
      <c r="GF25" s="43"/>
      <c r="GG25" s="43"/>
      <c r="GH25" s="43"/>
      <c r="GI25" s="43"/>
      <c r="GJ25" s="43"/>
      <c r="GK25" s="43"/>
      <c r="GL25" s="43"/>
      <c r="GM25" s="43"/>
      <c r="GN25" s="43"/>
      <c r="GO25" s="43"/>
      <c r="GP25" s="43"/>
      <c r="GQ25" s="43"/>
      <c r="GR25" s="43"/>
      <c r="GS25" s="43"/>
      <c r="GT25" s="43"/>
      <c r="GU25" s="43"/>
      <c r="GV25" s="43"/>
      <c r="GW25" s="43"/>
      <c r="GX25" s="45"/>
      <c r="GY25" s="45"/>
      <c r="GZ25" s="43"/>
      <c r="HA25" s="43"/>
      <c r="HB25" s="43"/>
      <c r="HC25" s="43"/>
      <c r="HD25" s="39">
        <f t="shared" si="20"/>
        <v>0</v>
      </c>
      <c r="HE25" s="39">
        <f t="shared" si="21"/>
        <v>0</v>
      </c>
      <c r="HF25" s="39"/>
      <c r="HG25" s="39"/>
      <c r="HH25" s="39"/>
      <c r="HI25" s="43"/>
      <c r="HJ25" s="43"/>
      <c r="HK25" s="43"/>
      <c r="HL25" s="43"/>
      <c r="HM25" s="43"/>
      <c r="HN25" s="136"/>
      <c r="HO25" s="136"/>
      <c r="HP25" s="39">
        <f t="shared" si="22"/>
        <v>0</v>
      </c>
      <c r="HQ25" s="39">
        <f t="shared" si="23"/>
        <v>0</v>
      </c>
      <c r="HR25" s="39"/>
      <c r="HS25" s="39"/>
      <c r="HT25" s="39"/>
      <c r="HU25" s="43"/>
      <c r="HV25" s="39"/>
      <c r="HW25" s="39"/>
      <c r="HX25" s="39">
        <f t="shared" si="24"/>
        <v>0</v>
      </c>
      <c r="HY25" s="39">
        <f t="shared" si="25"/>
        <v>0</v>
      </c>
    </row>
    <row r="26" spans="1:233" ht="12.75" customHeight="1">
      <c r="A26" s="14" t="s">
        <v>224</v>
      </c>
      <c r="B26" s="34"/>
      <c r="C26" s="34"/>
      <c r="D26" s="39">
        <f>367+367+368+306+306+306+306+306+306+244.7+244.7+244.6</f>
        <v>3671.9999999999995</v>
      </c>
      <c r="E26" s="39">
        <f>367+367+368+306+306+306+306+306+306+244.7+244.7+244.6</f>
        <v>3671.9999999999995</v>
      </c>
      <c r="F26" s="39"/>
      <c r="G26" s="39"/>
      <c r="H26" s="34"/>
      <c r="I26" s="34"/>
      <c r="J26" s="34"/>
      <c r="K26" s="34"/>
      <c r="L26" s="34"/>
      <c r="M26" s="34"/>
      <c r="N26" s="34"/>
      <c r="O26" s="34"/>
      <c r="P26" s="33"/>
      <c r="Q26" s="33"/>
      <c r="R26" s="39"/>
      <c r="S26" s="34"/>
      <c r="T26" s="39"/>
      <c r="U26" s="39"/>
      <c r="V26" s="39"/>
      <c r="W26" s="34"/>
      <c r="X26" s="34"/>
      <c r="Y26" s="34"/>
      <c r="Z26" s="34"/>
      <c r="AA26" s="34"/>
      <c r="AB26" s="34"/>
      <c r="AC26" s="34"/>
      <c r="AD26" s="34"/>
      <c r="AE26" s="34"/>
      <c r="AF26" s="39">
        <v>73</v>
      </c>
      <c r="AG26" s="48">
        <f>6.1+6.1+6.1+6.1+6.1+5.6+4.4+5.6+4+4+18.9</f>
        <v>73</v>
      </c>
      <c r="AH26" s="126">
        <f t="shared" si="5"/>
        <v>3744.9999999999995</v>
      </c>
      <c r="AI26" s="126">
        <f t="shared" si="6"/>
        <v>3744.9999999999995</v>
      </c>
      <c r="AJ26" s="43"/>
      <c r="AK26" s="43"/>
      <c r="AL26" s="134"/>
      <c r="AM26" s="41"/>
      <c r="AN26" s="41"/>
      <c r="AO26" s="41"/>
      <c r="AP26" s="41"/>
      <c r="AQ26" s="41"/>
      <c r="AR26" s="39"/>
      <c r="AS26" s="39"/>
      <c r="AT26" s="43"/>
      <c r="AU26" s="43"/>
      <c r="AV26" s="43"/>
      <c r="AW26" s="43"/>
      <c r="AX26" s="43"/>
      <c r="AY26" s="43"/>
      <c r="AZ26" s="39">
        <f t="shared" si="7"/>
        <v>0</v>
      </c>
      <c r="BA26" s="39">
        <f t="shared" si="8"/>
        <v>0</v>
      </c>
      <c r="BB26" s="39">
        <v>0</v>
      </c>
      <c r="BC26" s="39">
        <v>0</v>
      </c>
      <c r="BD26" s="39">
        <v>244.4</v>
      </c>
      <c r="BE26" s="43">
        <v>244.4</v>
      </c>
      <c r="BF26" s="43"/>
      <c r="BG26" s="43"/>
      <c r="BH26" s="43"/>
      <c r="BI26" s="43"/>
      <c r="BJ26" s="43"/>
      <c r="BK26" s="43"/>
      <c r="BL26" s="43"/>
      <c r="BM26" s="43"/>
      <c r="BN26" s="45"/>
      <c r="BO26" s="45"/>
      <c r="BP26" s="45"/>
      <c r="BQ26" s="45"/>
      <c r="BR26" s="43"/>
      <c r="BS26" s="43"/>
      <c r="BT26" s="43"/>
      <c r="BU26" s="43"/>
      <c r="BV26" s="45"/>
      <c r="BW26" s="45"/>
      <c r="BX26" s="43"/>
      <c r="BY26" s="45"/>
      <c r="BZ26" s="43"/>
      <c r="CA26" s="43"/>
      <c r="CB26" s="45"/>
      <c r="CC26" s="45"/>
      <c r="CD26" s="45"/>
      <c r="CE26" s="45"/>
      <c r="CF26" s="39">
        <f t="shared" si="9"/>
        <v>244.4</v>
      </c>
      <c r="CG26" s="39">
        <f t="shared" si="10"/>
        <v>244.4</v>
      </c>
      <c r="CH26" s="39"/>
      <c r="CI26" s="39"/>
      <c r="CJ26" s="39"/>
      <c r="CK26" s="45"/>
      <c r="CL26" s="45"/>
      <c r="CM26" s="43"/>
      <c r="CN26" s="43"/>
      <c r="CO26" s="43"/>
      <c r="CP26" s="43"/>
      <c r="CQ26" s="39"/>
      <c r="CR26" s="43"/>
      <c r="CS26" s="43"/>
      <c r="CT26" s="43"/>
      <c r="CU26" s="45"/>
      <c r="CV26" s="45"/>
      <c r="CW26" s="43"/>
      <c r="CX26" s="39"/>
      <c r="CY26" s="43"/>
      <c r="CZ26" s="39"/>
      <c r="DA26" s="45"/>
      <c r="DB26" s="45"/>
      <c r="DC26" s="45"/>
      <c r="DD26" s="45"/>
      <c r="DE26" s="45"/>
      <c r="DF26" s="39">
        <f t="shared" si="11"/>
        <v>0</v>
      </c>
      <c r="DG26" s="39">
        <f t="shared" si="12"/>
        <v>0</v>
      </c>
      <c r="DH26" s="39"/>
      <c r="DI26" s="39"/>
      <c r="DJ26" s="39">
        <v>0</v>
      </c>
      <c r="DK26" s="39">
        <f t="shared" si="13"/>
        <v>0</v>
      </c>
      <c r="DL26" s="39"/>
      <c r="DM26" s="39"/>
      <c r="DN26" s="43"/>
      <c r="DO26" s="43"/>
      <c r="DP26" s="39">
        <f t="shared" si="14"/>
        <v>0</v>
      </c>
      <c r="DQ26" s="39">
        <f t="shared" si="15"/>
        <v>0</v>
      </c>
      <c r="DR26" s="39"/>
      <c r="DS26" s="39"/>
      <c r="DT26" s="43"/>
      <c r="DU26" s="43"/>
      <c r="DV26" s="43"/>
      <c r="DW26" s="43"/>
      <c r="DX26" s="43"/>
      <c r="DY26" s="43"/>
      <c r="DZ26" s="39"/>
      <c r="EA26" s="39"/>
      <c r="EB26" s="43"/>
      <c r="EC26" s="43"/>
      <c r="ED26" s="43"/>
      <c r="EE26" s="43"/>
      <c r="EF26" s="39">
        <v>0</v>
      </c>
      <c r="EG26" s="43"/>
      <c r="EH26" s="43">
        <v>1300</v>
      </c>
      <c r="EI26" s="39">
        <v>1300</v>
      </c>
      <c r="EJ26" s="39">
        <v>100</v>
      </c>
      <c r="EK26" s="43">
        <v>89.9</v>
      </c>
      <c r="EL26" s="43"/>
      <c r="EM26" s="43"/>
      <c r="EN26" s="45"/>
      <c r="EO26" s="45"/>
      <c r="EP26" s="43"/>
      <c r="EQ26" s="43"/>
      <c r="ER26" s="43"/>
      <c r="ES26" s="43"/>
      <c r="ET26" s="135"/>
      <c r="EU26" s="135"/>
      <c r="EV26" s="135">
        <v>6.7</v>
      </c>
      <c r="EW26" s="135">
        <v>6.7</v>
      </c>
      <c r="EX26" s="43"/>
      <c r="EY26" s="43"/>
      <c r="EZ26" s="43"/>
      <c r="FA26" s="43"/>
      <c r="FB26" s="37">
        <f t="shared" si="16"/>
        <v>1406.7</v>
      </c>
      <c r="FC26" s="37">
        <f t="shared" si="17"/>
        <v>1396.6000000000001</v>
      </c>
      <c r="FD26" s="39"/>
      <c r="FE26" s="39"/>
      <c r="FF26" s="43"/>
      <c r="FG26" s="43"/>
      <c r="FH26" s="132">
        <f t="shared" si="18"/>
        <v>0</v>
      </c>
      <c r="FI26" s="132">
        <f t="shared" si="19"/>
        <v>0</v>
      </c>
      <c r="FJ26" s="39"/>
      <c r="FK26" s="39"/>
      <c r="FL26" s="43"/>
      <c r="FM26" s="43"/>
      <c r="FN26" s="43"/>
      <c r="FO26" s="43"/>
      <c r="FP26" s="43"/>
      <c r="FQ26" s="43"/>
      <c r="FR26" s="39"/>
      <c r="FS26" s="135"/>
      <c r="FT26" s="43"/>
      <c r="FU26" s="43"/>
      <c r="FV26" s="43"/>
      <c r="FW26" s="43"/>
      <c r="FX26" s="43"/>
      <c r="FY26" s="43"/>
      <c r="FZ26" s="43"/>
      <c r="GA26" s="43"/>
      <c r="GB26" s="43"/>
      <c r="GC26" s="43"/>
      <c r="GD26" s="135"/>
      <c r="GE26" s="135"/>
      <c r="GF26" s="43"/>
      <c r="GG26" s="43"/>
      <c r="GH26" s="43"/>
      <c r="GI26" s="43"/>
      <c r="GJ26" s="43"/>
      <c r="GK26" s="43"/>
      <c r="GL26" s="43"/>
      <c r="GM26" s="43"/>
      <c r="GN26" s="43"/>
      <c r="GO26" s="43"/>
      <c r="GP26" s="43"/>
      <c r="GQ26" s="43"/>
      <c r="GR26" s="43"/>
      <c r="GS26" s="43"/>
      <c r="GT26" s="43"/>
      <c r="GU26" s="43"/>
      <c r="GV26" s="43"/>
      <c r="GW26" s="43"/>
      <c r="GX26" s="45"/>
      <c r="GY26" s="45"/>
      <c r="GZ26" s="43"/>
      <c r="HA26" s="43"/>
      <c r="HB26" s="43"/>
      <c r="HC26" s="43"/>
      <c r="HD26" s="39">
        <f t="shared" si="20"/>
        <v>0</v>
      </c>
      <c r="HE26" s="39">
        <f t="shared" si="21"/>
        <v>0</v>
      </c>
      <c r="HF26" s="39"/>
      <c r="HG26" s="39"/>
      <c r="HH26" s="39"/>
      <c r="HI26" s="43"/>
      <c r="HJ26" s="43"/>
      <c r="HK26" s="43"/>
      <c r="HL26" s="43"/>
      <c r="HM26" s="43"/>
      <c r="HN26" s="136"/>
      <c r="HO26" s="136"/>
      <c r="HP26" s="39">
        <f t="shared" si="22"/>
        <v>0</v>
      </c>
      <c r="HQ26" s="39">
        <f t="shared" si="23"/>
        <v>0</v>
      </c>
      <c r="HR26" s="39"/>
      <c r="HS26" s="39"/>
      <c r="HT26" s="39"/>
      <c r="HU26" s="43"/>
      <c r="HV26" s="39"/>
      <c r="HW26" s="39"/>
      <c r="HX26" s="39">
        <f t="shared" si="24"/>
        <v>0</v>
      </c>
      <c r="HY26" s="39">
        <f t="shared" si="25"/>
        <v>0</v>
      </c>
    </row>
    <row r="27" spans="1:233" ht="12.75">
      <c r="A27" s="14" t="s">
        <v>225</v>
      </c>
      <c r="B27" s="34"/>
      <c r="C27" s="34"/>
      <c r="D27" s="39">
        <f>316+316+317+263+263+264+711.5+711.5</f>
        <v>3162</v>
      </c>
      <c r="E27" s="39">
        <f>316+316+317+263+263+264+711.5+711.5</f>
        <v>3162</v>
      </c>
      <c r="F27" s="39"/>
      <c r="G27" s="39"/>
      <c r="H27" s="34"/>
      <c r="I27" s="34"/>
      <c r="J27" s="34"/>
      <c r="K27" s="34"/>
      <c r="L27" s="34"/>
      <c r="M27" s="34"/>
      <c r="N27" s="34"/>
      <c r="O27" s="34"/>
      <c r="P27" s="33"/>
      <c r="Q27" s="33"/>
      <c r="R27" s="39"/>
      <c r="S27" s="34"/>
      <c r="T27" s="39">
        <v>2.2276</v>
      </c>
      <c r="U27" s="39">
        <v>2.2276</v>
      </c>
      <c r="V27" s="39"/>
      <c r="W27" s="34"/>
      <c r="X27" s="34"/>
      <c r="Y27" s="34"/>
      <c r="Z27" s="34"/>
      <c r="AA27" s="34"/>
      <c r="AB27" s="34"/>
      <c r="AC27" s="34"/>
      <c r="AD27" s="34"/>
      <c r="AE27" s="34"/>
      <c r="AF27" s="39">
        <v>147</v>
      </c>
      <c r="AG27" s="48">
        <f>12.3+12.3+12.3+12.3+12.3+15+5.9+6+6.17846+28.23115</f>
        <v>122.80961</v>
      </c>
      <c r="AH27" s="126">
        <f t="shared" si="5"/>
        <v>3311.2276</v>
      </c>
      <c r="AI27" s="126">
        <f t="shared" si="6"/>
        <v>3287.03721</v>
      </c>
      <c r="AJ27" s="43"/>
      <c r="AK27" s="43"/>
      <c r="AL27" s="134"/>
      <c r="AM27" s="41"/>
      <c r="AN27" s="41"/>
      <c r="AO27" s="41"/>
      <c r="AP27" s="41"/>
      <c r="AQ27" s="41"/>
      <c r="AR27" s="39"/>
      <c r="AS27" s="39"/>
      <c r="AT27" s="43"/>
      <c r="AU27" s="43"/>
      <c r="AV27" s="43"/>
      <c r="AW27" s="43"/>
      <c r="AX27" s="43"/>
      <c r="AY27" s="43"/>
      <c r="AZ27" s="39">
        <f t="shared" si="7"/>
        <v>0</v>
      </c>
      <c r="BA27" s="39">
        <f t="shared" si="8"/>
        <v>0</v>
      </c>
      <c r="BB27" s="39">
        <v>0</v>
      </c>
      <c r="BC27" s="39">
        <v>0</v>
      </c>
      <c r="BD27" s="39">
        <v>138</v>
      </c>
      <c r="BE27" s="43">
        <v>138</v>
      </c>
      <c r="BF27" s="43"/>
      <c r="BG27" s="43"/>
      <c r="BH27" s="43"/>
      <c r="BI27" s="43"/>
      <c r="BJ27" s="43"/>
      <c r="BK27" s="43"/>
      <c r="BL27" s="43"/>
      <c r="BM27" s="43"/>
      <c r="BN27" s="45"/>
      <c r="BO27" s="45"/>
      <c r="BP27" s="45"/>
      <c r="BQ27" s="45"/>
      <c r="BR27" s="43"/>
      <c r="BS27" s="43"/>
      <c r="BT27" s="43"/>
      <c r="BU27" s="43"/>
      <c r="BV27" s="45"/>
      <c r="BW27" s="45"/>
      <c r="BX27" s="43"/>
      <c r="BY27" s="45"/>
      <c r="BZ27" s="43"/>
      <c r="CA27" s="43"/>
      <c r="CB27" s="45"/>
      <c r="CC27" s="45"/>
      <c r="CD27" s="45"/>
      <c r="CE27" s="45"/>
      <c r="CF27" s="39">
        <f t="shared" si="9"/>
        <v>138</v>
      </c>
      <c r="CG27" s="39">
        <f t="shared" si="10"/>
        <v>138</v>
      </c>
      <c r="CH27" s="39"/>
      <c r="CI27" s="39"/>
      <c r="CJ27" s="39"/>
      <c r="CK27" s="45"/>
      <c r="CL27" s="45"/>
      <c r="CM27" s="43"/>
      <c r="CN27" s="43"/>
      <c r="CO27" s="43"/>
      <c r="CP27" s="43"/>
      <c r="CQ27" s="39"/>
      <c r="CR27" s="43"/>
      <c r="CS27" s="43"/>
      <c r="CT27" s="43"/>
      <c r="CU27" s="45"/>
      <c r="CV27" s="45"/>
      <c r="CW27" s="43"/>
      <c r="CX27" s="39"/>
      <c r="CY27" s="43"/>
      <c r="CZ27" s="39"/>
      <c r="DA27" s="45"/>
      <c r="DB27" s="45"/>
      <c r="DC27" s="45"/>
      <c r="DD27" s="45"/>
      <c r="DE27" s="45"/>
      <c r="DF27" s="39">
        <f t="shared" si="11"/>
        <v>0</v>
      </c>
      <c r="DG27" s="39">
        <f t="shared" si="12"/>
        <v>0</v>
      </c>
      <c r="DH27" s="39"/>
      <c r="DI27" s="39"/>
      <c r="DJ27" s="39">
        <v>0</v>
      </c>
      <c r="DK27" s="39">
        <f t="shared" si="13"/>
        <v>0</v>
      </c>
      <c r="DL27" s="39"/>
      <c r="DM27" s="39"/>
      <c r="DN27" s="43"/>
      <c r="DO27" s="43"/>
      <c r="DP27" s="39">
        <f t="shared" si="14"/>
        <v>0</v>
      </c>
      <c r="DQ27" s="39">
        <f t="shared" si="15"/>
        <v>0</v>
      </c>
      <c r="DR27" s="39"/>
      <c r="DS27" s="39"/>
      <c r="DT27" s="43"/>
      <c r="DU27" s="43"/>
      <c r="DV27" s="43"/>
      <c r="DW27" s="43"/>
      <c r="DX27" s="43"/>
      <c r="DY27" s="43"/>
      <c r="DZ27" s="39"/>
      <c r="EA27" s="39"/>
      <c r="EB27" s="43"/>
      <c r="EC27" s="43"/>
      <c r="ED27" s="43"/>
      <c r="EE27" s="43"/>
      <c r="EF27" s="39">
        <v>0</v>
      </c>
      <c r="EG27" s="43"/>
      <c r="EH27" s="43">
        <v>1002.7</v>
      </c>
      <c r="EI27" s="39">
        <v>1002.7</v>
      </c>
      <c r="EJ27" s="39">
        <v>33</v>
      </c>
      <c r="EK27" s="43">
        <v>18.5</v>
      </c>
      <c r="EL27" s="43"/>
      <c r="EM27" s="43"/>
      <c r="EN27" s="45"/>
      <c r="EO27" s="45"/>
      <c r="EP27" s="43"/>
      <c r="EQ27" s="43"/>
      <c r="ER27" s="43"/>
      <c r="ES27" s="43"/>
      <c r="ET27" s="135"/>
      <c r="EU27" s="135"/>
      <c r="EV27" s="135">
        <v>26.8</v>
      </c>
      <c r="EW27" s="135">
        <v>26.8</v>
      </c>
      <c r="EX27" s="43"/>
      <c r="EY27" s="43"/>
      <c r="EZ27" s="43"/>
      <c r="FA27" s="43"/>
      <c r="FB27" s="37">
        <f t="shared" si="16"/>
        <v>1062.5</v>
      </c>
      <c r="FC27" s="37">
        <f t="shared" si="17"/>
        <v>1048</v>
      </c>
      <c r="FD27" s="39"/>
      <c r="FE27" s="39"/>
      <c r="FF27" s="43"/>
      <c r="FG27" s="43"/>
      <c r="FH27" s="132">
        <f t="shared" si="18"/>
        <v>0</v>
      </c>
      <c r="FI27" s="132">
        <f t="shared" si="19"/>
        <v>0</v>
      </c>
      <c r="FJ27" s="39"/>
      <c r="FK27" s="39"/>
      <c r="FL27" s="43"/>
      <c r="FM27" s="43"/>
      <c r="FN27" s="43"/>
      <c r="FO27" s="43"/>
      <c r="FP27" s="43"/>
      <c r="FQ27" s="43"/>
      <c r="FR27" s="39"/>
      <c r="FS27" s="135"/>
      <c r="FT27" s="43"/>
      <c r="FU27" s="43"/>
      <c r="FV27" s="43"/>
      <c r="FW27" s="43"/>
      <c r="FX27" s="43"/>
      <c r="FY27" s="43"/>
      <c r="FZ27" s="43"/>
      <c r="GA27" s="43"/>
      <c r="GB27" s="43"/>
      <c r="GC27" s="43"/>
      <c r="GD27" s="135"/>
      <c r="GE27" s="135"/>
      <c r="GF27" s="43"/>
      <c r="GG27" s="43"/>
      <c r="GH27" s="43"/>
      <c r="GI27" s="43"/>
      <c r="GJ27" s="43"/>
      <c r="GK27" s="43"/>
      <c r="GL27" s="43"/>
      <c r="GM27" s="43"/>
      <c r="GN27" s="43"/>
      <c r="GO27" s="43"/>
      <c r="GP27" s="43"/>
      <c r="GQ27" s="43"/>
      <c r="GR27" s="43"/>
      <c r="GS27" s="43"/>
      <c r="GT27" s="43"/>
      <c r="GU27" s="43"/>
      <c r="GV27" s="43"/>
      <c r="GW27" s="43"/>
      <c r="GX27" s="45"/>
      <c r="GY27" s="45"/>
      <c r="GZ27" s="43"/>
      <c r="HA27" s="43"/>
      <c r="HB27" s="43"/>
      <c r="HC27" s="43"/>
      <c r="HD27" s="39">
        <f t="shared" si="20"/>
        <v>0</v>
      </c>
      <c r="HE27" s="39">
        <f t="shared" si="21"/>
        <v>0</v>
      </c>
      <c r="HF27" s="39"/>
      <c r="HG27" s="39"/>
      <c r="HH27" s="39"/>
      <c r="HI27" s="43"/>
      <c r="HJ27" s="43"/>
      <c r="HK27" s="43"/>
      <c r="HL27" s="43"/>
      <c r="HM27" s="43"/>
      <c r="HN27" s="136"/>
      <c r="HO27" s="136"/>
      <c r="HP27" s="39">
        <f t="shared" si="22"/>
        <v>0</v>
      </c>
      <c r="HQ27" s="39">
        <f t="shared" si="23"/>
        <v>0</v>
      </c>
      <c r="HR27" s="39"/>
      <c r="HS27" s="39"/>
      <c r="HT27" s="39"/>
      <c r="HU27" s="43"/>
      <c r="HV27" s="39"/>
      <c r="HW27" s="39"/>
      <c r="HX27" s="39">
        <f t="shared" si="24"/>
        <v>0</v>
      </c>
      <c r="HY27" s="39">
        <f t="shared" si="25"/>
        <v>0</v>
      </c>
    </row>
    <row r="28" spans="1:233" ht="12.75" customHeight="1">
      <c r="A28" s="14" t="s">
        <v>226</v>
      </c>
      <c r="B28" s="34"/>
      <c r="C28" s="34"/>
      <c r="D28" s="39">
        <f>360+360+360+300+300+300+300+300+300+240+240+240</f>
        <v>3600</v>
      </c>
      <c r="E28" s="39">
        <f>360+360+360+300+300+300+300+300+300+240+240+240</f>
        <v>3600</v>
      </c>
      <c r="F28" s="39"/>
      <c r="G28" s="39"/>
      <c r="H28" s="34"/>
      <c r="I28" s="34"/>
      <c r="J28" s="34"/>
      <c r="K28" s="34"/>
      <c r="L28" s="34"/>
      <c r="M28" s="34"/>
      <c r="N28" s="34"/>
      <c r="O28" s="34"/>
      <c r="P28" s="33"/>
      <c r="Q28" s="33"/>
      <c r="R28" s="39">
        <v>65</v>
      </c>
      <c r="S28" s="39">
        <f>28.20487</f>
        <v>28.20487</v>
      </c>
      <c r="T28" s="39">
        <v>10.07348</v>
      </c>
      <c r="U28" s="39">
        <v>10.07348</v>
      </c>
      <c r="V28" s="39">
        <v>95</v>
      </c>
      <c r="W28" s="39">
        <f>25+70</f>
        <v>95</v>
      </c>
      <c r="X28" s="34"/>
      <c r="Y28" s="34"/>
      <c r="Z28" s="34"/>
      <c r="AA28" s="34"/>
      <c r="AB28" s="34"/>
      <c r="AC28" s="34"/>
      <c r="AD28" s="34"/>
      <c r="AE28" s="34"/>
      <c r="AF28" s="39">
        <v>147</v>
      </c>
      <c r="AG28" s="48">
        <f>12.3+12.3+12.3+12.3+12.3+16.5+22.2+1.7+10.9+11+23.2</f>
        <v>147</v>
      </c>
      <c r="AH28" s="126">
        <f t="shared" si="5"/>
        <v>3917.07348</v>
      </c>
      <c r="AI28" s="126">
        <f t="shared" si="6"/>
        <v>3880.27835</v>
      </c>
      <c r="AJ28" s="43"/>
      <c r="AK28" s="43"/>
      <c r="AL28" s="134"/>
      <c r="AM28" s="41"/>
      <c r="AN28" s="41"/>
      <c r="AO28" s="41"/>
      <c r="AP28" s="41"/>
      <c r="AQ28" s="41"/>
      <c r="AR28" s="39"/>
      <c r="AS28" s="39"/>
      <c r="AT28" s="43"/>
      <c r="AU28" s="43"/>
      <c r="AV28" s="43"/>
      <c r="AW28" s="43"/>
      <c r="AX28" s="43"/>
      <c r="AY28" s="43"/>
      <c r="AZ28" s="39">
        <f t="shared" si="7"/>
        <v>0</v>
      </c>
      <c r="BA28" s="39">
        <f t="shared" si="8"/>
        <v>0</v>
      </c>
      <c r="BB28" s="39">
        <v>0</v>
      </c>
      <c r="BC28" s="39">
        <v>0</v>
      </c>
      <c r="BD28" s="39">
        <v>159</v>
      </c>
      <c r="BE28" s="43">
        <v>159</v>
      </c>
      <c r="BF28" s="43"/>
      <c r="BG28" s="43"/>
      <c r="BH28" s="43"/>
      <c r="BI28" s="43"/>
      <c r="BJ28" s="43"/>
      <c r="BK28" s="43"/>
      <c r="BL28" s="43"/>
      <c r="BM28" s="43"/>
      <c r="BN28" s="45"/>
      <c r="BO28" s="45"/>
      <c r="BP28" s="45"/>
      <c r="BQ28" s="45"/>
      <c r="BR28" s="43"/>
      <c r="BS28" s="43"/>
      <c r="BT28" s="43"/>
      <c r="BU28" s="43"/>
      <c r="BV28" s="45"/>
      <c r="BW28" s="45"/>
      <c r="BX28" s="43"/>
      <c r="BY28" s="45"/>
      <c r="BZ28" s="43"/>
      <c r="CA28" s="43"/>
      <c r="CB28" s="45"/>
      <c r="CC28" s="45"/>
      <c r="CD28" s="45"/>
      <c r="CE28" s="45"/>
      <c r="CF28" s="39">
        <f t="shared" si="9"/>
        <v>159</v>
      </c>
      <c r="CG28" s="39">
        <f t="shared" si="10"/>
        <v>159</v>
      </c>
      <c r="CH28" s="39"/>
      <c r="CI28" s="39"/>
      <c r="CJ28" s="39"/>
      <c r="CK28" s="45"/>
      <c r="CL28" s="45"/>
      <c r="CM28" s="43"/>
      <c r="CN28" s="43"/>
      <c r="CO28" s="43"/>
      <c r="CP28" s="43"/>
      <c r="CQ28" s="39"/>
      <c r="CR28" s="43"/>
      <c r="CS28" s="43"/>
      <c r="CT28" s="43"/>
      <c r="CU28" s="45"/>
      <c r="CV28" s="45"/>
      <c r="CW28" s="43"/>
      <c r="CX28" s="39"/>
      <c r="CY28" s="43"/>
      <c r="CZ28" s="39"/>
      <c r="DA28" s="45"/>
      <c r="DB28" s="45"/>
      <c r="DC28" s="45"/>
      <c r="DD28" s="45"/>
      <c r="DE28" s="45"/>
      <c r="DF28" s="39">
        <f t="shared" si="11"/>
        <v>0</v>
      </c>
      <c r="DG28" s="39">
        <f t="shared" si="12"/>
        <v>0</v>
      </c>
      <c r="DH28" s="39"/>
      <c r="DI28" s="39"/>
      <c r="DJ28" s="39">
        <v>0</v>
      </c>
      <c r="DK28" s="39">
        <f t="shared" si="13"/>
        <v>0</v>
      </c>
      <c r="DL28" s="39"/>
      <c r="DM28" s="39"/>
      <c r="DN28" s="43"/>
      <c r="DO28" s="43"/>
      <c r="DP28" s="39">
        <f t="shared" si="14"/>
        <v>0</v>
      </c>
      <c r="DQ28" s="39">
        <f t="shared" si="15"/>
        <v>0</v>
      </c>
      <c r="DR28" s="39"/>
      <c r="DS28" s="39"/>
      <c r="DT28" s="43"/>
      <c r="DU28" s="43"/>
      <c r="DV28" s="43"/>
      <c r="DW28" s="43"/>
      <c r="DX28" s="43"/>
      <c r="DY28" s="43"/>
      <c r="DZ28" s="39"/>
      <c r="EA28" s="39"/>
      <c r="EB28" s="43"/>
      <c r="EC28" s="43"/>
      <c r="ED28" s="43">
        <v>38</v>
      </c>
      <c r="EE28" s="43">
        <v>38</v>
      </c>
      <c r="EF28" s="39">
        <v>900</v>
      </c>
      <c r="EG28" s="43">
        <v>900</v>
      </c>
      <c r="EH28" s="43">
        <v>2517</v>
      </c>
      <c r="EI28" s="39">
        <v>2517</v>
      </c>
      <c r="EJ28" s="39">
        <v>100</v>
      </c>
      <c r="EK28" s="43">
        <v>45</v>
      </c>
      <c r="EL28" s="43"/>
      <c r="EM28" s="43"/>
      <c r="EN28" s="45"/>
      <c r="EO28" s="45"/>
      <c r="EP28" s="43"/>
      <c r="EQ28" s="43"/>
      <c r="ER28" s="43"/>
      <c r="ES28" s="43"/>
      <c r="ET28" s="135"/>
      <c r="EU28" s="135"/>
      <c r="EV28" s="135">
        <v>6.7</v>
      </c>
      <c r="EW28" s="135">
        <v>6.7</v>
      </c>
      <c r="EX28" s="43"/>
      <c r="EY28" s="43"/>
      <c r="EZ28" s="43"/>
      <c r="FA28" s="43"/>
      <c r="FB28" s="37">
        <f t="shared" si="16"/>
        <v>3561.7</v>
      </c>
      <c r="FC28" s="37">
        <f t="shared" si="17"/>
        <v>3506.7</v>
      </c>
      <c r="FD28" s="39"/>
      <c r="FE28" s="39"/>
      <c r="FF28" s="43"/>
      <c r="FG28" s="43"/>
      <c r="FH28" s="132">
        <f t="shared" si="18"/>
        <v>0</v>
      </c>
      <c r="FI28" s="132">
        <f t="shared" si="19"/>
        <v>0</v>
      </c>
      <c r="FJ28" s="39"/>
      <c r="FK28" s="39"/>
      <c r="FL28" s="43"/>
      <c r="FM28" s="43"/>
      <c r="FN28" s="43"/>
      <c r="FO28" s="43"/>
      <c r="FP28" s="43"/>
      <c r="FQ28" s="43"/>
      <c r="FR28" s="39"/>
      <c r="FS28" s="135"/>
      <c r="FT28" s="43"/>
      <c r="FU28" s="43"/>
      <c r="FV28" s="43"/>
      <c r="FW28" s="43"/>
      <c r="FX28" s="43"/>
      <c r="FY28" s="43"/>
      <c r="FZ28" s="43"/>
      <c r="GA28" s="43"/>
      <c r="GB28" s="43"/>
      <c r="GC28" s="43"/>
      <c r="GD28" s="135"/>
      <c r="GE28" s="135"/>
      <c r="GF28" s="43"/>
      <c r="GG28" s="43"/>
      <c r="GH28" s="43"/>
      <c r="GI28" s="43"/>
      <c r="GJ28" s="43"/>
      <c r="GK28" s="43"/>
      <c r="GL28" s="43"/>
      <c r="GM28" s="43"/>
      <c r="GN28" s="43"/>
      <c r="GO28" s="43"/>
      <c r="GP28" s="43"/>
      <c r="GQ28" s="43"/>
      <c r="GR28" s="43"/>
      <c r="GS28" s="43"/>
      <c r="GT28" s="43"/>
      <c r="GU28" s="43"/>
      <c r="GV28" s="43"/>
      <c r="GW28" s="43"/>
      <c r="GX28" s="45"/>
      <c r="GY28" s="45"/>
      <c r="GZ28" s="43"/>
      <c r="HA28" s="43"/>
      <c r="HB28" s="43"/>
      <c r="HC28" s="43"/>
      <c r="HD28" s="39">
        <f t="shared" si="20"/>
        <v>0</v>
      </c>
      <c r="HE28" s="39">
        <f t="shared" si="21"/>
        <v>0</v>
      </c>
      <c r="HF28" s="39"/>
      <c r="HG28" s="39"/>
      <c r="HH28" s="39"/>
      <c r="HI28" s="43"/>
      <c r="HJ28" s="43"/>
      <c r="HK28" s="43"/>
      <c r="HL28" s="43"/>
      <c r="HM28" s="43"/>
      <c r="HN28" s="136"/>
      <c r="HO28" s="136"/>
      <c r="HP28" s="39">
        <f t="shared" si="22"/>
        <v>0</v>
      </c>
      <c r="HQ28" s="39">
        <f t="shared" si="23"/>
        <v>0</v>
      </c>
      <c r="HR28" s="39"/>
      <c r="HS28" s="39"/>
      <c r="HT28" s="39"/>
      <c r="HU28" s="43"/>
      <c r="HV28" s="39"/>
      <c r="HW28" s="39"/>
      <c r="HX28" s="39">
        <f t="shared" si="24"/>
        <v>0</v>
      </c>
      <c r="HY28" s="39">
        <f t="shared" si="25"/>
        <v>0</v>
      </c>
    </row>
    <row r="29" spans="1:233" ht="12.75">
      <c r="A29" s="13" t="s">
        <v>147</v>
      </c>
      <c r="B29" s="39">
        <f>SUM(B30:B37)</f>
        <v>142853</v>
      </c>
      <c r="C29" s="39">
        <f aca="true" t="shared" si="30" ref="C29:BN29">SUM(C30:C37)</f>
        <v>142853</v>
      </c>
      <c r="D29" s="39">
        <f t="shared" si="30"/>
        <v>29813</v>
      </c>
      <c r="E29" s="39">
        <f t="shared" si="30"/>
        <v>29813</v>
      </c>
      <c r="F29" s="39">
        <f t="shared" si="30"/>
        <v>73599</v>
      </c>
      <c r="G29" s="39">
        <f t="shared" si="30"/>
        <v>73599</v>
      </c>
      <c r="H29" s="39">
        <f t="shared" si="30"/>
        <v>0</v>
      </c>
      <c r="I29" s="39">
        <f t="shared" si="30"/>
        <v>0</v>
      </c>
      <c r="J29" s="39">
        <f t="shared" si="30"/>
        <v>0</v>
      </c>
      <c r="K29" s="39">
        <f t="shared" si="30"/>
        <v>0</v>
      </c>
      <c r="L29" s="39">
        <f t="shared" si="30"/>
        <v>0</v>
      </c>
      <c r="M29" s="39">
        <f t="shared" si="30"/>
        <v>0</v>
      </c>
      <c r="N29" s="39">
        <f t="shared" si="30"/>
        <v>0</v>
      </c>
      <c r="O29" s="39">
        <f t="shared" si="30"/>
        <v>0</v>
      </c>
      <c r="P29" s="39">
        <f t="shared" si="30"/>
        <v>0</v>
      </c>
      <c r="Q29" s="39">
        <f t="shared" si="30"/>
        <v>0</v>
      </c>
      <c r="R29" s="39">
        <f t="shared" si="30"/>
        <v>12990</v>
      </c>
      <c r="S29" s="39">
        <f t="shared" si="30"/>
        <v>12979.63831</v>
      </c>
      <c r="T29" s="39">
        <f t="shared" si="30"/>
        <v>7890.228529999999</v>
      </c>
      <c r="U29" s="39">
        <f t="shared" si="30"/>
        <v>7890.228529999999</v>
      </c>
      <c r="V29" s="39">
        <f t="shared" si="30"/>
        <v>0</v>
      </c>
      <c r="W29" s="39">
        <f t="shared" si="30"/>
        <v>0</v>
      </c>
      <c r="X29" s="39">
        <f t="shared" si="30"/>
        <v>7000</v>
      </c>
      <c r="Y29" s="39">
        <f t="shared" si="30"/>
        <v>7000</v>
      </c>
      <c r="Z29" s="39">
        <f t="shared" si="30"/>
        <v>0</v>
      </c>
      <c r="AA29" s="39">
        <f t="shared" si="30"/>
        <v>0</v>
      </c>
      <c r="AB29" s="39">
        <f t="shared" si="30"/>
        <v>7357</v>
      </c>
      <c r="AC29" s="39">
        <f t="shared" si="30"/>
        <v>7357</v>
      </c>
      <c r="AD29" s="39">
        <f t="shared" si="30"/>
        <v>4634</v>
      </c>
      <c r="AE29" s="39">
        <f t="shared" si="30"/>
        <v>4634</v>
      </c>
      <c r="AF29" s="39">
        <f t="shared" si="30"/>
        <v>1100</v>
      </c>
      <c r="AG29" s="39">
        <f t="shared" si="30"/>
        <v>1100</v>
      </c>
      <c r="AH29" s="39">
        <f t="shared" si="30"/>
        <v>287236.22852999996</v>
      </c>
      <c r="AI29" s="39">
        <f t="shared" si="30"/>
        <v>287225.86684</v>
      </c>
      <c r="AJ29" s="39">
        <f t="shared" si="30"/>
        <v>651</v>
      </c>
      <c r="AK29" s="39">
        <f t="shared" si="30"/>
        <v>651</v>
      </c>
      <c r="AL29" s="39">
        <f t="shared" si="30"/>
        <v>530.8</v>
      </c>
      <c r="AM29" s="39">
        <f t="shared" si="30"/>
        <v>520.775</v>
      </c>
      <c r="AN29" s="39">
        <f t="shared" si="30"/>
        <v>0</v>
      </c>
      <c r="AO29" s="39">
        <f t="shared" si="30"/>
        <v>0</v>
      </c>
      <c r="AP29" s="39">
        <f t="shared" si="30"/>
        <v>0</v>
      </c>
      <c r="AQ29" s="39">
        <f t="shared" si="30"/>
        <v>0</v>
      </c>
      <c r="AR29" s="39">
        <f t="shared" si="30"/>
        <v>0</v>
      </c>
      <c r="AS29" s="39">
        <f t="shared" si="30"/>
        <v>0</v>
      </c>
      <c r="AT29" s="39">
        <f t="shared" si="30"/>
        <v>30</v>
      </c>
      <c r="AU29" s="39">
        <f t="shared" si="30"/>
        <v>30</v>
      </c>
      <c r="AV29" s="39">
        <f t="shared" si="30"/>
        <v>0</v>
      </c>
      <c r="AW29" s="39">
        <f t="shared" si="30"/>
        <v>0</v>
      </c>
      <c r="AX29" s="39">
        <f t="shared" si="30"/>
        <v>3798</v>
      </c>
      <c r="AY29" s="39">
        <f t="shared" si="30"/>
        <v>3798</v>
      </c>
      <c r="AZ29" s="39">
        <f t="shared" si="30"/>
        <v>5009.8</v>
      </c>
      <c r="BA29" s="39">
        <f t="shared" si="30"/>
        <v>4999.775</v>
      </c>
      <c r="BB29" s="39">
        <f t="shared" si="30"/>
        <v>2429</v>
      </c>
      <c r="BC29" s="39">
        <f t="shared" si="30"/>
        <v>2429</v>
      </c>
      <c r="BD29" s="39">
        <f t="shared" si="30"/>
        <v>2372</v>
      </c>
      <c r="BE29" s="39">
        <f t="shared" si="30"/>
        <v>612.647</v>
      </c>
      <c r="BF29" s="39">
        <f t="shared" si="30"/>
        <v>0</v>
      </c>
      <c r="BG29" s="39">
        <f t="shared" si="30"/>
        <v>0</v>
      </c>
      <c r="BH29" s="39">
        <f t="shared" si="30"/>
        <v>0</v>
      </c>
      <c r="BI29" s="39">
        <f t="shared" si="30"/>
        <v>0</v>
      </c>
      <c r="BJ29" s="39">
        <f t="shared" si="30"/>
        <v>0</v>
      </c>
      <c r="BK29" s="39">
        <f t="shared" si="30"/>
        <v>0</v>
      </c>
      <c r="BL29" s="39">
        <f t="shared" si="30"/>
        <v>0</v>
      </c>
      <c r="BM29" s="39">
        <f t="shared" si="30"/>
        <v>0</v>
      </c>
      <c r="BN29" s="39">
        <f t="shared" si="30"/>
        <v>513</v>
      </c>
      <c r="BO29" s="39">
        <f aca="true" t="shared" si="31" ref="BO29:DZ29">SUM(BO30:BO37)</f>
        <v>513</v>
      </c>
      <c r="BP29" s="39">
        <f t="shared" si="31"/>
        <v>0</v>
      </c>
      <c r="BQ29" s="39">
        <f t="shared" si="31"/>
        <v>0</v>
      </c>
      <c r="BR29" s="39">
        <f t="shared" si="31"/>
        <v>0</v>
      </c>
      <c r="BS29" s="39">
        <f t="shared" si="31"/>
        <v>0</v>
      </c>
      <c r="BT29" s="39">
        <f t="shared" si="31"/>
        <v>739.6</v>
      </c>
      <c r="BU29" s="39">
        <f t="shared" si="31"/>
        <v>739.6</v>
      </c>
      <c r="BV29" s="39">
        <f t="shared" si="31"/>
        <v>866.125</v>
      </c>
      <c r="BW29" s="39">
        <f t="shared" si="31"/>
        <v>866.125</v>
      </c>
      <c r="BX29" s="39">
        <f t="shared" si="31"/>
        <v>0</v>
      </c>
      <c r="BY29" s="39">
        <f t="shared" si="31"/>
        <v>0</v>
      </c>
      <c r="BZ29" s="39">
        <f t="shared" si="31"/>
        <v>0</v>
      </c>
      <c r="CA29" s="39">
        <f t="shared" si="31"/>
        <v>0</v>
      </c>
      <c r="CB29" s="39">
        <f t="shared" si="31"/>
        <v>3452.22</v>
      </c>
      <c r="CC29" s="39">
        <f t="shared" si="31"/>
        <v>3452.22</v>
      </c>
      <c r="CD29" s="39">
        <f t="shared" si="31"/>
        <v>575.37</v>
      </c>
      <c r="CE29" s="39">
        <f t="shared" si="31"/>
        <v>575.37</v>
      </c>
      <c r="CF29" s="39">
        <f t="shared" si="31"/>
        <v>8518.314999999999</v>
      </c>
      <c r="CG29" s="39">
        <f t="shared" si="31"/>
        <v>6758.9619999999995</v>
      </c>
      <c r="CH29" s="39">
        <f t="shared" si="31"/>
        <v>13574.39402</v>
      </c>
      <c r="CI29" s="39">
        <f t="shared" si="31"/>
        <v>13574.39402</v>
      </c>
      <c r="CJ29" s="39">
        <f t="shared" si="31"/>
        <v>7515.508779999999</v>
      </c>
      <c r="CK29" s="39">
        <f t="shared" si="31"/>
        <v>5925.098779999999</v>
      </c>
      <c r="CL29" s="39">
        <f t="shared" si="31"/>
        <v>0</v>
      </c>
      <c r="CM29" s="39">
        <f t="shared" si="31"/>
        <v>0</v>
      </c>
      <c r="CN29" s="39">
        <f t="shared" si="31"/>
        <v>0</v>
      </c>
      <c r="CO29" s="39">
        <f t="shared" si="31"/>
        <v>0</v>
      </c>
      <c r="CP29" s="39">
        <f t="shared" si="31"/>
        <v>0</v>
      </c>
      <c r="CQ29" s="39">
        <f t="shared" si="31"/>
        <v>0</v>
      </c>
      <c r="CR29" s="39">
        <f t="shared" si="31"/>
        <v>0</v>
      </c>
      <c r="CS29" s="39">
        <f t="shared" si="31"/>
        <v>0</v>
      </c>
      <c r="CT29" s="39">
        <f t="shared" si="31"/>
        <v>0</v>
      </c>
      <c r="CU29" s="39">
        <f t="shared" si="31"/>
        <v>0</v>
      </c>
      <c r="CV29" s="39">
        <f t="shared" si="31"/>
        <v>0</v>
      </c>
      <c r="CW29" s="39">
        <f t="shared" si="31"/>
        <v>0</v>
      </c>
      <c r="CX29" s="39">
        <f t="shared" si="31"/>
        <v>2880</v>
      </c>
      <c r="CY29" s="39">
        <f t="shared" si="31"/>
        <v>2831.77493</v>
      </c>
      <c r="CZ29" s="39">
        <f t="shared" si="31"/>
        <v>584.67</v>
      </c>
      <c r="DA29" s="39">
        <f t="shared" si="31"/>
        <v>584.639</v>
      </c>
      <c r="DB29" s="39">
        <f t="shared" si="31"/>
        <v>1145</v>
      </c>
      <c r="DC29" s="39">
        <f t="shared" si="31"/>
        <v>1112.413</v>
      </c>
      <c r="DD29" s="39">
        <f t="shared" si="31"/>
        <v>0</v>
      </c>
      <c r="DE29" s="39">
        <f t="shared" si="31"/>
        <v>0</v>
      </c>
      <c r="DF29" s="39">
        <f t="shared" si="31"/>
        <v>25699.572799999998</v>
      </c>
      <c r="DG29" s="39">
        <f t="shared" si="31"/>
        <v>24028.31973</v>
      </c>
      <c r="DH29" s="39">
        <f t="shared" si="31"/>
        <v>1540.59</v>
      </c>
      <c r="DI29" s="39">
        <f t="shared" si="31"/>
        <v>1540.59</v>
      </c>
      <c r="DJ29" s="39">
        <f t="shared" si="31"/>
        <v>1540.59</v>
      </c>
      <c r="DK29" s="39">
        <f t="shared" si="31"/>
        <v>1540.59</v>
      </c>
      <c r="DL29" s="39">
        <f t="shared" si="31"/>
        <v>0</v>
      </c>
      <c r="DM29" s="39">
        <f t="shared" si="31"/>
        <v>0</v>
      </c>
      <c r="DN29" s="39">
        <f t="shared" si="31"/>
        <v>0</v>
      </c>
      <c r="DO29" s="39">
        <f t="shared" si="31"/>
        <v>0</v>
      </c>
      <c r="DP29" s="39">
        <f t="shared" si="31"/>
        <v>0</v>
      </c>
      <c r="DQ29" s="39">
        <f t="shared" si="31"/>
        <v>0</v>
      </c>
      <c r="DR29" s="39">
        <f t="shared" si="31"/>
        <v>0</v>
      </c>
      <c r="DS29" s="39">
        <f t="shared" si="31"/>
        <v>0</v>
      </c>
      <c r="DT29" s="39">
        <f t="shared" si="31"/>
        <v>0</v>
      </c>
      <c r="DU29" s="39">
        <f t="shared" si="31"/>
        <v>0</v>
      </c>
      <c r="DV29" s="39">
        <f t="shared" si="31"/>
        <v>0</v>
      </c>
      <c r="DW29" s="39">
        <f t="shared" si="31"/>
        <v>0</v>
      </c>
      <c r="DX29" s="39">
        <f t="shared" si="31"/>
        <v>0</v>
      </c>
      <c r="DY29" s="39">
        <f t="shared" si="31"/>
        <v>0</v>
      </c>
      <c r="DZ29" s="39">
        <f t="shared" si="31"/>
        <v>0</v>
      </c>
      <c r="EA29" s="39">
        <f aca="true" t="shared" si="32" ref="EA29:GL29">SUM(EA30:EA37)</f>
        <v>0</v>
      </c>
      <c r="EB29" s="39">
        <f t="shared" si="32"/>
        <v>0</v>
      </c>
      <c r="EC29" s="39">
        <f t="shared" si="32"/>
        <v>0</v>
      </c>
      <c r="ED29" s="39">
        <f t="shared" si="32"/>
        <v>20</v>
      </c>
      <c r="EE29" s="39">
        <f t="shared" si="32"/>
        <v>20</v>
      </c>
      <c r="EF29" s="39">
        <f t="shared" si="32"/>
        <v>325</v>
      </c>
      <c r="EG29" s="39">
        <f t="shared" si="32"/>
        <v>325</v>
      </c>
      <c r="EH29" s="39">
        <f t="shared" si="32"/>
        <v>36626.1</v>
      </c>
      <c r="EI29" s="39">
        <f t="shared" si="32"/>
        <v>36626.1</v>
      </c>
      <c r="EJ29" s="39">
        <f t="shared" si="32"/>
        <v>1430</v>
      </c>
      <c r="EK29" s="39">
        <f t="shared" si="32"/>
        <v>1430</v>
      </c>
      <c r="EL29" s="39">
        <f t="shared" si="32"/>
        <v>0</v>
      </c>
      <c r="EM29" s="39">
        <f t="shared" si="32"/>
        <v>0</v>
      </c>
      <c r="EN29" s="39">
        <f t="shared" si="32"/>
        <v>280</v>
      </c>
      <c r="EO29" s="39">
        <f t="shared" si="32"/>
        <v>280</v>
      </c>
      <c r="EP29" s="39">
        <f t="shared" si="32"/>
        <v>2100</v>
      </c>
      <c r="EQ29" s="39">
        <f t="shared" si="32"/>
        <v>2100</v>
      </c>
      <c r="ER29" s="39">
        <f t="shared" si="32"/>
        <v>0</v>
      </c>
      <c r="ES29" s="39">
        <f t="shared" si="32"/>
        <v>0</v>
      </c>
      <c r="ET29" s="39">
        <f t="shared" si="32"/>
        <v>0</v>
      </c>
      <c r="EU29" s="39">
        <f t="shared" si="32"/>
        <v>0</v>
      </c>
      <c r="EV29" s="39">
        <f t="shared" si="32"/>
        <v>26.8</v>
      </c>
      <c r="EW29" s="39">
        <f t="shared" si="32"/>
        <v>26.8</v>
      </c>
      <c r="EX29" s="39">
        <f t="shared" si="32"/>
        <v>100</v>
      </c>
      <c r="EY29" s="39">
        <f t="shared" si="32"/>
        <v>100</v>
      </c>
      <c r="EZ29" s="39">
        <f t="shared" si="32"/>
        <v>0</v>
      </c>
      <c r="FA29" s="39">
        <f t="shared" si="32"/>
        <v>0</v>
      </c>
      <c r="FB29" s="39">
        <f t="shared" si="32"/>
        <v>40907.9</v>
      </c>
      <c r="FC29" s="39">
        <f t="shared" si="32"/>
        <v>40907.9</v>
      </c>
      <c r="FD29" s="39">
        <f t="shared" si="32"/>
        <v>1006</v>
      </c>
      <c r="FE29" s="39">
        <f t="shared" si="32"/>
        <v>1006</v>
      </c>
      <c r="FF29" s="39">
        <f t="shared" si="32"/>
        <v>52.92</v>
      </c>
      <c r="FG29" s="39">
        <f t="shared" si="32"/>
        <v>52.92</v>
      </c>
      <c r="FH29" s="39">
        <f t="shared" si="32"/>
        <v>1058.92</v>
      </c>
      <c r="FI29" s="39">
        <f t="shared" si="32"/>
        <v>1058.92</v>
      </c>
      <c r="FJ29" s="39">
        <f t="shared" si="32"/>
        <v>0</v>
      </c>
      <c r="FK29" s="39">
        <f t="shared" si="32"/>
        <v>0</v>
      </c>
      <c r="FL29" s="39">
        <f t="shared" si="32"/>
        <v>0</v>
      </c>
      <c r="FM29" s="39">
        <f t="shared" si="32"/>
        <v>0</v>
      </c>
      <c r="FN29" s="39">
        <f t="shared" si="32"/>
        <v>4173.7</v>
      </c>
      <c r="FO29" s="39">
        <f t="shared" si="32"/>
        <v>3946.821</v>
      </c>
      <c r="FP29" s="39">
        <f t="shared" si="32"/>
        <v>0</v>
      </c>
      <c r="FQ29" s="39">
        <f t="shared" si="32"/>
        <v>0</v>
      </c>
      <c r="FR29" s="39">
        <f t="shared" si="32"/>
        <v>0</v>
      </c>
      <c r="FS29" s="39">
        <f t="shared" si="32"/>
        <v>0</v>
      </c>
      <c r="FT29" s="39">
        <f t="shared" si="32"/>
        <v>4689</v>
      </c>
      <c r="FU29" s="39">
        <f t="shared" si="32"/>
        <v>4689</v>
      </c>
      <c r="FV29" s="39">
        <f t="shared" si="32"/>
        <v>2980</v>
      </c>
      <c r="FW29" s="39">
        <f t="shared" si="32"/>
        <v>2980</v>
      </c>
      <c r="FX29" s="39">
        <f t="shared" si="32"/>
        <v>11320</v>
      </c>
      <c r="FY29" s="39">
        <f t="shared" si="32"/>
        <v>11320</v>
      </c>
      <c r="FZ29" s="39">
        <f t="shared" si="32"/>
        <v>8145</v>
      </c>
      <c r="GA29" s="39">
        <f t="shared" si="32"/>
        <v>8145</v>
      </c>
      <c r="GB29" s="39">
        <f t="shared" si="32"/>
        <v>5250</v>
      </c>
      <c r="GC29" s="39">
        <f t="shared" si="32"/>
        <v>5250</v>
      </c>
      <c r="GD29" s="39">
        <f t="shared" si="32"/>
        <v>5026.45</v>
      </c>
      <c r="GE29" s="39">
        <f t="shared" si="32"/>
        <v>5026.45</v>
      </c>
      <c r="GF29" s="39">
        <f t="shared" si="32"/>
        <v>1475.9</v>
      </c>
      <c r="GG29" s="39">
        <f t="shared" si="32"/>
        <v>1475.9</v>
      </c>
      <c r="GH29" s="39">
        <f t="shared" si="32"/>
        <v>631.9</v>
      </c>
      <c r="GI29" s="39">
        <f t="shared" si="32"/>
        <v>631.9</v>
      </c>
      <c r="GJ29" s="39">
        <f t="shared" si="32"/>
        <v>129899</v>
      </c>
      <c r="GK29" s="39">
        <f t="shared" si="32"/>
        <v>129899</v>
      </c>
      <c r="GL29" s="39">
        <f t="shared" si="32"/>
        <v>226714.9</v>
      </c>
      <c r="GM29" s="39">
        <f aca="true" t="shared" si="33" ref="GM29:HY29">SUM(GM30:GM37)</f>
        <v>226714.9</v>
      </c>
      <c r="GN29" s="39">
        <f t="shared" si="33"/>
        <v>2978.1</v>
      </c>
      <c r="GO29" s="39">
        <f t="shared" si="33"/>
        <v>2978.1</v>
      </c>
      <c r="GP29" s="39">
        <f t="shared" si="33"/>
        <v>17003</v>
      </c>
      <c r="GQ29" s="39">
        <f t="shared" si="33"/>
        <v>17003</v>
      </c>
      <c r="GR29" s="39">
        <f t="shared" si="33"/>
        <v>1608</v>
      </c>
      <c r="GS29" s="39">
        <f t="shared" si="33"/>
        <v>1608</v>
      </c>
      <c r="GT29" s="39">
        <f t="shared" si="33"/>
        <v>374</v>
      </c>
      <c r="GU29" s="39">
        <f t="shared" si="33"/>
        <v>374</v>
      </c>
      <c r="GV29" s="39">
        <f t="shared" si="33"/>
        <v>11725</v>
      </c>
      <c r="GW29" s="39">
        <f t="shared" si="33"/>
        <v>11725</v>
      </c>
      <c r="GX29" s="39">
        <f t="shared" si="33"/>
        <v>8752.1</v>
      </c>
      <c r="GY29" s="39">
        <f t="shared" si="33"/>
        <v>8752.1</v>
      </c>
      <c r="GZ29" s="39">
        <f t="shared" si="33"/>
        <v>50</v>
      </c>
      <c r="HA29" s="39">
        <f t="shared" si="33"/>
        <v>50</v>
      </c>
      <c r="HB29" s="39">
        <f t="shared" si="33"/>
        <v>0</v>
      </c>
      <c r="HC29" s="39">
        <f t="shared" si="33"/>
        <v>0</v>
      </c>
      <c r="HD29" s="39">
        <f t="shared" si="33"/>
        <v>442796.05</v>
      </c>
      <c r="HE29" s="39">
        <f t="shared" si="33"/>
        <v>442569.171</v>
      </c>
      <c r="HF29" s="39">
        <f t="shared" si="33"/>
        <v>0</v>
      </c>
      <c r="HG29" s="39">
        <f t="shared" si="33"/>
        <v>0</v>
      </c>
      <c r="HH29" s="39">
        <f t="shared" si="33"/>
        <v>2275</v>
      </c>
      <c r="HI29" s="39">
        <f t="shared" si="33"/>
        <v>1664.5946000000001</v>
      </c>
      <c r="HJ29" s="39">
        <f t="shared" si="33"/>
        <v>0</v>
      </c>
      <c r="HK29" s="39">
        <f t="shared" si="33"/>
        <v>0</v>
      </c>
      <c r="HL29" s="39">
        <f t="shared" si="33"/>
        <v>0</v>
      </c>
      <c r="HM29" s="39">
        <f t="shared" si="33"/>
        <v>0</v>
      </c>
      <c r="HN29" s="39">
        <f t="shared" si="33"/>
        <v>0</v>
      </c>
      <c r="HO29" s="39">
        <f t="shared" si="33"/>
        <v>0</v>
      </c>
      <c r="HP29" s="39">
        <f t="shared" si="33"/>
        <v>2275</v>
      </c>
      <c r="HQ29" s="39">
        <f t="shared" si="33"/>
        <v>1664.5946000000001</v>
      </c>
      <c r="HR29" s="39">
        <f t="shared" si="33"/>
        <v>0</v>
      </c>
      <c r="HS29" s="39">
        <f t="shared" si="33"/>
        <v>0</v>
      </c>
      <c r="HT29" s="39">
        <f t="shared" si="33"/>
        <v>409</v>
      </c>
      <c r="HU29" s="39">
        <f t="shared" si="33"/>
        <v>375</v>
      </c>
      <c r="HV29" s="39">
        <f t="shared" si="33"/>
        <v>14.812</v>
      </c>
      <c r="HW29" s="39">
        <f t="shared" si="33"/>
        <v>14.812</v>
      </c>
      <c r="HX29" s="39">
        <f t="shared" si="33"/>
        <v>423.812</v>
      </c>
      <c r="HY29" s="39">
        <f t="shared" si="33"/>
        <v>389.812</v>
      </c>
    </row>
    <row r="30" spans="1:233" ht="12.75" customHeight="1">
      <c r="A30" s="12" t="s">
        <v>156</v>
      </c>
      <c r="B30" s="39">
        <f>14285+9524+11905+7142+11904+11904+11905+11904+11904+11905+9523.7+9523.7+9523.6</f>
        <v>142853</v>
      </c>
      <c r="C30" s="39">
        <f>14285+9524+11905+7142+11904+11904+11905+11904+11904+11905+9523.7+9523.7+9523.6</f>
        <v>142853</v>
      </c>
      <c r="D30" s="34"/>
      <c r="E30" s="34"/>
      <c r="F30" s="39">
        <f>7360+4907+6134+3679+6133+3022+3022+3022+3022+3022+20435.755+3021+777.245+3021+3021</f>
        <v>73599</v>
      </c>
      <c r="G30" s="39">
        <f>7360+4907+6134+3679+6133+3022+3022+3022+3022+3022+20435.755+3021+777.245+3021+3021</f>
        <v>73599</v>
      </c>
      <c r="H30" s="34"/>
      <c r="I30" s="34"/>
      <c r="J30" s="34"/>
      <c r="K30" s="34"/>
      <c r="L30" s="34"/>
      <c r="M30" s="34"/>
      <c r="N30" s="34"/>
      <c r="O30" s="34"/>
      <c r="P30" s="34"/>
      <c r="Q30" s="34"/>
      <c r="R30" s="39"/>
      <c r="S30" s="34"/>
      <c r="T30" s="39">
        <v>5428.08</v>
      </c>
      <c r="U30" s="39">
        <f>513.83812+2303.675+2610.56688</f>
        <v>5428.08</v>
      </c>
      <c r="V30" s="39"/>
      <c r="W30" s="34"/>
      <c r="X30" s="39">
        <v>7000</v>
      </c>
      <c r="Y30" s="39">
        <v>7000</v>
      </c>
      <c r="Z30" s="34"/>
      <c r="AA30" s="34"/>
      <c r="AB30" s="39">
        <v>7357</v>
      </c>
      <c r="AC30" s="39">
        <v>7357</v>
      </c>
      <c r="AD30" s="39">
        <v>2721</v>
      </c>
      <c r="AE30" s="39">
        <v>2721</v>
      </c>
      <c r="AF30" s="39"/>
      <c r="AG30" s="39"/>
      <c r="AH30" s="126">
        <f t="shared" si="5"/>
        <v>238958.08</v>
      </c>
      <c r="AI30" s="126">
        <f t="shared" si="6"/>
        <v>238958.08</v>
      </c>
      <c r="AJ30" s="43">
        <v>651</v>
      </c>
      <c r="AK30" s="43">
        <v>651</v>
      </c>
      <c r="AL30" s="134">
        <v>530.8</v>
      </c>
      <c r="AM30" s="41">
        <v>520.775</v>
      </c>
      <c r="AN30" s="41"/>
      <c r="AO30" s="41"/>
      <c r="AP30" s="41"/>
      <c r="AQ30" s="41"/>
      <c r="AR30" s="39"/>
      <c r="AS30" s="39"/>
      <c r="AT30" s="43">
        <v>30</v>
      </c>
      <c r="AU30" s="43">
        <v>30</v>
      </c>
      <c r="AV30" s="43"/>
      <c r="AW30" s="43"/>
      <c r="AX30" s="43">
        <v>3798</v>
      </c>
      <c r="AY30" s="43">
        <v>3798</v>
      </c>
      <c r="AZ30" s="39">
        <f t="shared" si="7"/>
        <v>5009.8</v>
      </c>
      <c r="BA30" s="39">
        <f t="shared" si="8"/>
        <v>4999.775</v>
      </c>
      <c r="BB30" s="39">
        <v>2429</v>
      </c>
      <c r="BC30" s="39">
        <v>2429</v>
      </c>
      <c r="BD30" s="39">
        <v>1166</v>
      </c>
      <c r="BE30" s="43">
        <v>461.045</v>
      </c>
      <c r="BF30" s="43"/>
      <c r="BG30" s="43"/>
      <c r="BH30" s="43"/>
      <c r="BI30" s="43"/>
      <c r="BJ30" s="43"/>
      <c r="BK30" s="43"/>
      <c r="BL30" s="43"/>
      <c r="BM30" s="43"/>
      <c r="BN30" s="43">
        <v>513</v>
      </c>
      <c r="BO30" s="43">
        <v>513</v>
      </c>
      <c r="BP30" s="43"/>
      <c r="BQ30" s="43"/>
      <c r="BR30" s="43"/>
      <c r="BS30" s="43"/>
      <c r="BT30" s="43">
        <v>739.6</v>
      </c>
      <c r="BU30" s="43">
        <v>739.6</v>
      </c>
      <c r="BV30" s="43">
        <v>866.125</v>
      </c>
      <c r="BW30" s="43">
        <v>866.125</v>
      </c>
      <c r="BX30" s="43"/>
      <c r="BY30" s="45"/>
      <c r="BZ30" s="43"/>
      <c r="CA30" s="45"/>
      <c r="CB30" s="39">
        <v>3452.22</v>
      </c>
      <c r="CC30" s="39">
        <v>3452.22</v>
      </c>
      <c r="CD30" s="43">
        <v>575.37</v>
      </c>
      <c r="CE30" s="43">
        <v>575.37</v>
      </c>
      <c r="CF30" s="39">
        <f t="shared" si="9"/>
        <v>7312.315</v>
      </c>
      <c r="CG30" s="39">
        <f t="shared" si="10"/>
        <v>6607.36</v>
      </c>
      <c r="CH30" s="39">
        <v>9083.80658</v>
      </c>
      <c r="CI30" s="39">
        <v>9083.80658</v>
      </c>
      <c r="CJ30" s="39">
        <v>6081.536929999999</v>
      </c>
      <c r="CK30" s="43">
        <v>4491.126929999999</v>
      </c>
      <c r="CL30" s="43"/>
      <c r="CM30" s="43"/>
      <c r="CN30" s="43"/>
      <c r="CO30" s="43"/>
      <c r="CP30" s="43"/>
      <c r="CQ30" s="39"/>
      <c r="CR30" s="43"/>
      <c r="CS30" s="43"/>
      <c r="CT30" s="43"/>
      <c r="CU30" s="43"/>
      <c r="CV30" s="43"/>
      <c r="CW30" s="43"/>
      <c r="CX30" s="39">
        <v>2880</v>
      </c>
      <c r="CY30" s="50">
        <v>2831.77493</v>
      </c>
      <c r="CZ30" s="39">
        <v>584.67</v>
      </c>
      <c r="DA30" s="39">
        <v>584.639</v>
      </c>
      <c r="DB30" s="39">
        <v>1145</v>
      </c>
      <c r="DC30" s="39">
        <v>1112.413</v>
      </c>
      <c r="DD30" s="45"/>
      <c r="DE30" s="45"/>
      <c r="DF30" s="39">
        <f t="shared" si="11"/>
        <v>19775.013509999997</v>
      </c>
      <c r="DG30" s="39">
        <f t="shared" si="12"/>
        <v>18103.76044</v>
      </c>
      <c r="DH30" s="39">
        <v>1540.59</v>
      </c>
      <c r="DI30" s="39">
        <v>1540.59</v>
      </c>
      <c r="DJ30" s="39">
        <v>1540.59</v>
      </c>
      <c r="DK30" s="39">
        <f t="shared" si="13"/>
        <v>1540.59</v>
      </c>
      <c r="DL30" s="39"/>
      <c r="DM30" s="39"/>
      <c r="DN30" s="43"/>
      <c r="DO30" s="43"/>
      <c r="DP30" s="39">
        <f t="shared" si="14"/>
        <v>0</v>
      </c>
      <c r="DQ30" s="39">
        <f t="shared" si="15"/>
        <v>0</v>
      </c>
      <c r="DR30" s="39"/>
      <c r="DS30" s="39"/>
      <c r="DT30" s="43"/>
      <c r="DU30" s="43"/>
      <c r="DV30" s="43"/>
      <c r="DW30" s="43"/>
      <c r="DX30" s="43"/>
      <c r="DY30" s="43"/>
      <c r="DZ30" s="39"/>
      <c r="EA30" s="39"/>
      <c r="EB30" s="43"/>
      <c r="EC30" s="43"/>
      <c r="ED30" s="43">
        <v>20</v>
      </c>
      <c r="EE30" s="43">
        <v>20</v>
      </c>
      <c r="EF30" s="39">
        <v>325</v>
      </c>
      <c r="EG30" s="43">
        <v>325</v>
      </c>
      <c r="EH30" s="43">
        <v>36626.1</v>
      </c>
      <c r="EI30" s="39">
        <v>36626.1</v>
      </c>
      <c r="EJ30" s="39">
        <v>1430</v>
      </c>
      <c r="EK30" s="43">
        <v>1430</v>
      </c>
      <c r="EL30" s="43"/>
      <c r="EM30" s="43"/>
      <c r="EN30" s="43">
        <v>280</v>
      </c>
      <c r="EO30" s="43">
        <v>280</v>
      </c>
      <c r="EP30" s="43">
        <v>2100</v>
      </c>
      <c r="EQ30" s="43">
        <v>2100</v>
      </c>
      <c r="ER30" s="43"/>
      <c r="ES30" s="43"/>
      <c r="ET30" s="135"/>
      <c r="EU30" s="135"/>
      <c r="EV30" s="135">
        <v>26.8</v>
      </c>
      <c r="EW30" s="135">
        <v>26.8</v>
      </c>
      <c r="EX30" s="43">
        <v>100</v>
      </c>
      <c r="EY30" s="43">
        <v>100</v>
      </c>
      <c r="EZ30" s="43"/>
      <c r="FA30" s="43"/>
      <c r="FB30" s="37">
        <f t="shared" si="16"/>
        <v>40907.9</v>
      </c>
      <c r="FC30" s="37">
        <f t="shared" si="17"/>
        <v>40907.9</v>
      </c>
      <c r="FD30" s="39">
        <v>1006</v>
      </c>
      <c r="FE30" s="39">
        <v>1006</v>
      </c>
      <c r="FF30" s="43">
        <v>52.92</v>
      </c>
      <c r="FG30" s="43">
        <v>52.92</v>
      </c>
      <c r="FH30" s="132">
        <f t="shared" si="18"/>
        <v>1058.92</v>
      </c>
      <c r="FI30" s="132">
        <f t="shared" si="19"/>
        <v>1058.92</v>
      </c>
      <c r="FJ30" s="39"/>
      <c r="FK30" s="39"/>
      <c r="FL30" s="43"/>
      <c r="FM30" s="43"/>
      <c r="FN30" s="43">
        <v>4173.7</v>
      </c>
      <c r="FO30" s="43">
        <v>3946.821</v>
      </c>
      <c r="FP30" s="43"/>
      <c r="FQ30" s="43"/>
      <c r="FR30" s="39"/>
      <c r="FS30" s="135"/>
      <c r="FT30" s="43">
        <v>4689</v>
      </c>
      <c r="FU30" s="43">
        <v>4689</v>
      </c>
      <c r="FV30" s="43">
        <v>2980</v>
      </c>
      <c r="FW30" s="43">
        <v>2980</v>
      </c>
      <c r="FX30" s="43">
        <v>11320</v>
      </c>
      <c r="FY30" s="43">
        <v>11320</v>
      </c>
      <c r="FZ30" s="43">
        <v>8145</v>
      </c>
      <c r="GA30" s="43">
        <v>8145</v>
      </c>
      <c r="GB30" s="43">
        <v>5250</v>
      </c>
      <c r="GC30" s="43">
        <v>5250</v>
      </c>
      <c r="GD30" s="135">
        <v>5026.45</v>
      </c>
      <c r="GE30" s="135">
        <v>5026.45</v>
      </c>
      <c r="GF30" s="43">
        <v>1475.9</v>
      </c>
      <c r="GG30" s="43">
        <v>1475.9</v>
      </c>
      <c r="GH30" s="43">
        <v>631.9</v>
      </c>
      <c r="GI30" s="43">
        <v>631.9</v>
      </c>
      <c r="GJ30" s="43">
        <v>129899</v>
      </c>
      <c r="GK30" s="43">
        <v>129899</v>
      </c>
      <c r="GL30" s="43">
        <v>226714.9</v>
      </c>
      <c r="GM30" s="43">
        <v>226714.9</v>
      </c>
      <c r="GN30" s="43">
        <v>2978.1</v>
      </c>
      <c r="GO30" s="43">
        <v>2978.1</v>
      </c>
      <c r="GP30" s="43">
        <v>17003</v>
      </c>
      <c r="GQ30" s="43">
        <v>17003</v>
      </c>
      <c r="GR30" s="43">
        <v>1608</v>
      </c>
      <c r="GS30" s="43">
        <v>1608</v>
      </c>
      <c r="GT30" s="43">
        <v>374</v>
      </c>
      <c r="GU30" s="43">
        <v>374</v>
      </c>
      <c r="GV30" s="43">
        <v>11725</v>
      </c>
      <c r="GW30" s="43">
        <v>11725</v>
      </c>
      <c r="GX30" s="45">
        <v>8752.1</v>
      </c>
      <c r="GY30" s="45">
        <v>8752.1</v>
      </c>
      <c r="GZ30" s="43">
        <v>50</v>
      </c>
      <c r="HA30" s="43">
        <v>50</v>
      </c>
      <c r="HB30" s="43">
        <v>0</v>
      </c>
      <c r="HC30" s="43">
        <v>0</v>
      </c>
      <c r="HD30" s="39">
        <f t="shared" si="20"/>
        <v>442796.05</v>
      </c>
      <c r="HE30" s="39">
        <f t="shared" si="21"/>
        <v>442569.171</v>
      </c>
      <c r="HF30" s="39">
        <v>0</v>
      </c>
      <c r="HG30" s="39">
        <v>0</v>
      </c>
      <c r="HH30" s="39">
        <v>2275</v>
      </c>
      <c r="HI30" s="43">
        <v>1664.5946000000001</v>
      </c>
      <c r="HJ30" s="43">
        <v>0</v>
      </c>
      <c r="HK30" s="43">
        <v>0</v>
      </c>
      <c r="HL30" s="43">
        <v>0</v>
      </c>
      <c r="HM30" s="43">
        <v>0</v>
      </c>
      <c r="HN30" s="136"/>
      <c r="HO30" s="136"/>
      <c r="HP30" s="39">
        <f t="shared" si="22"/>
        <v>2275</v>
      </c>
      <c r="HQ30" s="39">
        <f t="shared" si="23"/>
        <v>1664.5946000000001</v>
      </c>
      <c r="HR30" s="39"/>
      <c r="HS30" s="39"/>
      <c r="HT30" s="39">
        <v>409</v>
      </c>
      <c r="HU30" s="43">
        <v>375</v>
      </c>
      <c r="HV30" s="39">
        <v>14.812</v>
      </c>
      <c r="HW30" s="39">
        <v>14.812</v>
      </c>
      <c r="HX30" s="39">
        <f t="shared" si="24"/>
        <v>423.812</v>
      </c>
      <c r="HY30" s="39">
        <f t="shared" si="25"/>
        <v>389.812</v>
      </c>
    </row>
    <row r="31" spans="1:233" ht="12.75">
      <c r="A31" s="14" t="s">
        <v>161</v>
      </c>
      <c r="B31" s="34"/>
      <c r="C31" s="34"/>
      <c r="D31" s="39">
        <f>1029+1029+1028+857+857+857+857+857+857+685.7+685.7+685.6</f>
        <v>10285.000000000002</v>
      </c>
      <c r="E31" s="39">
        <f>1029+1029+1028+857+857+857+857+857+857+685.7+685.7+685.6</f>
        <v>10285.000000000002</v>
      </c>
      <c r="F31" s="34"/>
      <c r="G31" s="34"/>
      <c r="H31" s="34"/>
      <c r="I31" s="34"/>
      <c r="J31" s="34"/>
      <c r="K31" s="34"/>
      <c r="L31" s="34"/>
      <c r="M31" s="34"/>
      <c r="N31" s="34"/>
      <c r="O31" s="34"/>
      <c r="P31" s="34"/>
      <c r="Q31" s="34"/>
      <c r="R31" s="39">
        <v>12850</v>
      </c>
      <c r="S31" s="39">
        <f>12840.08025</f>
        <v>12840.08025</v>
      </c>
      <c r="T31" s="39">
        <v>2459.1625299999996</v>
      </c>
      <c r="U31" s="39">
        <v>2459.16253</v>
      </c>
      <c r="V31" s="39"/>
      <c r="W31" s="34"/>
      <c r="X31" s="34"/>
      <c r="Y31" s="34"/>
      <c r="Z31" s="34"/>
      <c r="AA31" s="34"/>
      <c r="AB31" s="34"/>
      <c r="AC31" s="34"/>
      <c r="AD31" s="39"/>
      <c r="AE31" s="39"/>
      <c r="AF31" s="39"/>
      <c r="AG31" s="39"/>
      <c r="AH31" s="126">
        <f t="shared" si="5"/>
        <v>25594.16253</v>
      </c>
      <c r="AI31" s="126">
        <f t="shared" si="6"/>
        <v>25584.242780000004</v>
      </c>
      <c r="AJ31" s="43"/>
      <c r="AK31" s="43"/>
      <c r="AL31" s="134"/>
      <c r="AM31" s="41"/>
      <c r="AN31" s="41"/>
      <c r="AO31" s="41"/>
      <c r="AP31" s="41"/>
      <c r="AQ31" s="41"/>
      <c r="AR31" s="39"/>
      <c r="AS31" s="39"/>
      <c r="AT31" s="43"/>
      <c r="AU31" s="43"/>
      <c r="AV31" s="43"/>
      <c r="AW31" s="43"/>
      <c r="AX31" s="43"/>
      <c r="AY31" s="43"/>
      <c r="AZ31" s="39">
        <f t="shared" si="7"/>
        <v>0</v>
      </c>
      <c r="BA31" s="39">
        <f t="shared" si="8"/>
        <v>0</v>
      </c>
      <c r="BB31" s="39">
        <v>0</v>
      </c>
      <c r="BC31" s="39">
        <v>0</v>
      </c>
      <c r="BD31" s="39">
        <v>636</v>
      </c>
      <c r="BE31" s="43">
        <v>0</v>
      </c>
      <c r="BF31" s="43"/>
      <c r="BG31" s="43"/>
      <c r="BH31" s="43"/>
      <c r="BI31" s="43"/>
      <c r="BJ31" s="43"/>
      <c r="BK31" s="43"/>
      <c r="BL31" s="43"/>
      <c r="BM31" s="43"/>
      <c r="BN31" s="45"/>
      <c r="BO31" s="45"/>
      <c r="BP31" s="45"/>
      <c r="BQ31" s="45"/>
      <c r="BR31" s="43"/>
      <c r="BS31" s="43"/>
      <c r="BT31" s="43"/>
      <c r="BU31" s="43"/>
      <c r="BV31" s="45"/>
      <c r="BW31" s="45"/>
      <c r="BX31" s="43"/>
      <c r="BY31" s="45"/>
      <c r="BZ31" s="43"/>
      <c r="CA31" s="45"/>
      <c r="CB31" s="45"/>
      <c r="CC31" s="45"/>
      <c r="CD31" s="45"/>
      <c r="CE31" s="45"/>
      <c r="CF31" s="39">
        <f t="shared" si="9"/>
        <v>636</v>
      </c>
      <c r="CG31" s="39">
        <f t="shared" si="10"/>
        <v>0</v>
      </c>
      <c r="CH31" s="39"/>
      <c r="CI31" s="39"/>
      <c r="CJ31" s="39"/>
      <c r="CK31" s="45"/>
      <c r="CL31" s="45"/>
      <c r="CM31" s="43"/>
      <c r="CN31" s="43"/>
      <c r="CO31" s="43"/>
      <c r="CP31" s="43"/>
      <c r="CQ31" s="39"/>
      <c r="CR31" s="43"/>
      <c r="CS31" s="43"/>
      <c r="CT31" s="43"/>
      <c r="CU31" s="43"/>
      <c r="CV31" s="43"/>
      <c r="CW31" s="43"/>
      <c r="CX31" s="43"/>
      <c r="CY31" s="43"/>
      <c r="CZ31" s="39"/>
      <c r="DA31" s="45"/>
      <c r="DB31" s="45"/>
      <c r="DC31" s="45"/>
      <c r="DD31" s="45"/>
      <c r="DE31" s="45"/>
      <c r="DF31" s="39">
        <f t="shared" si="11"/>
        <v>0</v>
      </c>
      <c r="DG31" s="39">
        <f t="shared" si="12"/>
        <v>0</v>
      </c>
      <c r="DH31" s="39"/>
      <c r="DI31" s="39"/>
      <c r="DJ31" s="39">
        <v>0</v>
      </c>
      <c r="DK31" s="39">
        <f t="shared" si="13"/>
        <v>0</v>
      </c>
      <c r="DL31" s="39"/>
      <c r="DM31" s="39"/>
      <c r="DN31" s="43"/>
      <c r="DO31" s="43"/>
      <c r="DP31" s="39">
        <f t="shared" si="14"/>
        <v>0</v>
      </c>
      <c r="DQ31" s="39">
        <f t="shared" si="15"/>
        <v>0</v>
      </c>
      <c r="DR31" s="39"/>
      <c r="DS31" s="39"/>
      <c r="DT31" s="43"/>
      <c r="DU31" s="43"/>
      <c r="DV31" s="43"/>
      <c r="DW31" s="43"/>
      <c r="DX31" s="43"/>
      <c r="DY31" s="43"/>
      <c r="DZ31" s="39"/>
      <c r="EA31" s="39"/>
      <c r="EB31" s="43"/>
      <c r="EC31" s="43"/>
      <c r="ED31" s="43"/>
      <c r="EE31" s="43"/>
      <c r="EF31" s="39">
        <v>0</v>
      </c>
      <c r="EG31" s="43"/>
      <c r="EH31" s="43">
        <v>0</v>
      </c>
      <c r="EI31" s="45"/>
      <c r="EJ31" s="39">
        <v>0</v>
      </c>
      <c r="EK31" s="43">
        <v>0</v>
      </c>
      <c r="EL31" s="43"/>
      <c r="EM31" s="43"/>
      <c r="EN31" s="43"/>
      <c r="EO31" s="43"/>
      <c r="EP31" s="43"/>
      <c r="EQ31" s="43"/>
      <c r="ER31" s="43"/>
      <c r="ES31" s="43"/>
      <c r="ET31" s="135"/>
      <c r="EU31" s="135"/>
      <c r="EV31" s="135"/>
      <c r="EW31" s="135"/>
      <c r="EX31" s="43"/>
      <c r="EY31" s="43"/>
      <c r="EZ31" s="43"/>
      <c r="FA31" s="43"/>
      <c r="FB31" s="37">
        <f t="shared" si="16"/>
        <v>0</v>
      </c>
      <c r="FC31" s="37">
        <f t="shared" si="17"/>
        <v>0</v>
      </c>
      <c r="FD31" s="39"/>
      <c r="FE31" s="39"/>
      <c r="FF31" s="43"/>
      <c r="FG31" s="43"/>
      <c r="FH31" s="132">
        <f t="shared" si="18"/>
        <v>0</v>
      </c>
      <c r="FI31" s="132">
        <f t="shared" si="19"/>
        <v>0</v>
      </c>
      <c r="FJ31" s="39"/>
      <c r="FK31" s="39"/>
      <c r="FL31" s="43"/>
      <c r="FM31" s="43"/>
      <c r="FN31" s="43"/>
      <c r="FO31" s="43"/>
      <c r="FP31" s="43"/>
      <c r="FQ31" s="43"/>
      <c r="FR31" s="39"/>
      <c r="FS31" s="135"/>
      <c r="FT31" s="43"/>
      <c r="FU31" s="43"/>
      <c r="FV31" s="43"/>
      <c r="FW31" s="43"/>
      <c r="FX31" s="43"/>
      <c r="FY31" s="43"/>
      <c r="FZ31" s="43"/>
      <c r="GA31" s="43"/>
      <c r="GB31" s="43"/>
      <c r="GC31" s="43"/>
      <c r="GD31" s="135"/>
      <c r="GE31" s="135"/>
      <c r="GF31" s="43"/>
      <c r="GG31" s="43"/>
      <c r="GH31" s="43"/>
      <c r="GI31" s="43"/>
      <c r="GJ31" s="43"/>
      <c r="GK31" s="43"/>
      <c r="GL31" s="43"/>
      <c r="GM31" s="43"/>
      <c r="GN31" s="43"/>
      <c r="GO31" s="43"/>
      <c r="GP31" s="43"/>
      <c r="GQ31" s="43"/>
      <c r="GR31" s="43"/>
      <c r="GS31" s="43"/>
      <c r="GT31" s="43"/>
      <c r="GU31" s="43"/>
      <c r="GV31" s="43"/>
      <c r="GW31" s="43"/>
      <c r="GX31" s="45"/>
      <c r="GY31" s="45"/>
      <c r="GZ31" s="43"/>
      <c r="HA31" s="43"/>
      <c r="HB31" s="43"/>
      <c r="HC31" s="43"/>
      <c r="HD31" s="39">
        <f t="shared" si="20"/>
        <v>0</v>
      </c>
      <c r="HE31" s="39">
        <f t="shared" si="21"/>
        <v>0</v>
      </c>
      <c r="HF31" s="39"/>
      <c r="HG31" s="39"/>
      <c r="HH31" s="39"/>
      <c r="HI31" s="43"/>
      <c r="HJ31" s="43"/>
      <c r="HK31" s="43"/>
      <c r="HL31" s="43"/>
      <c r="HM31" s="43"/>
      <c r="HN31" s="136"/>
      <c r="HO31" s="136"/>
      <c r="HP31" s="39">
        <f t="shared" si="22"/>
        <v>0</v>
      </c>
      <c r="HQ31" s="39">
        <f t="shared" si="23"/>
        <v>0</v>
      </c>
      <c r="HR31" s="39"/>
      <c r="HS31" s="39"/>
      <c r="HT31" s="39"/>
      <c r="HU31" s="43"/>
      <c r="HV31" s="39"/>
      <c r="HW31" s="39"/>
      <c r="HX31" s="39">
        <f t="shared" si="24"/>
        <v>0</v>
      </c>
      <c r="HY31" s="39">
        <f t="shared" si="25"/>
        <v>0</v>
      </c>
    </row>
    <row r="32" spans="1:233" ht="12.75" customHeight="1">
      <c r="A32" s="14" t="s">
        <v>207</v>
      </c>
      <c r="B32" s="34"/>
      <c r="C32" s="34"/>
      <c r="D32" s="39">
        <f>388+388+389+324+324+323+324+324+323+258.7+258.7+258.6</f>
        <v>3882.9999999999995</v>
      </c>
      <c r="E32" s="39">
        <f>388+388+389+324+324+323+324+324+323+258.7+258.7+258.6</f>
        <v>3882.9999999999995</v>
      </c>
      <c r="F32" s="34"/>
      <c r="G32" s="34"/>
      <c r="H32" s="34"/>
      <c r="I32" s="34"/>
      <c r="J32" s="34"/>
      <c r="K32" s="34"/>
      <c r="L32" s="34"/>
      <c r="M32" s="34"/>
      <c r="N32" s="34"/>
      <c r="O32" s="34"/>
      <c r="P32" s="34"/>
      <c r="Q32" s="34"/>
      <c r="R32" s="39"/>
      <c r="S32" s="39"/>
      <c r="T32" s="39">
        <v>0.66274</v>
      </c>
      <c r="U32" s="39">
        <v>0.66274</v>
      </c>
      <c r="V32" s="39"/>
      <c r="W32" s="34"/>
      <c r="X32" s="34"/>
      <c r="Y32" s="34"/>
      <c r="Z32" s="34"/>
      <c r="AA32" s="34"/>
      <c r="AB32" s="34"/>
      <c r="AC32" s="34"/>
      <c r="AD32" s="39"/>
      <c r="AE32" s="39"/>
      <c r="AF32" s="39">
        <v>293</v>
      </c>
      <c r="AG32" s="39">
        <f>24.4+24.4+24.4+24.4+24.4+24.4+24.4+24.4+24.4+37+36.4</f>
        <v>293</v>
      </c>
      <c r="AH32" s="126">
        <f t="shared" si="5"/>
        <v>4176.66274</v>
      </c>
      <c r="AI32" s="126">
        <f t="shared" si="6"/>
        <v>4176.66274</v>
      </c>
      <c r="AJ32" s="43"/>
      <c r="AK32" s="43"/>
      <c r="AL32" s="134"/>
      <c r="AM32" s="41"/>
      <c r="AN32" s="41"/>
      <c r="AO32" s="41"/>
      <c r="AP32" s="41"/>
      <c r="AQ32" s="41"/>
      <c r="AR32" s="39"/>
      <c r="AS32" s="39"/>
      <c r="AT32" s="43"/>
      <c r="AU32" s="43"/>
      <c r="AV32" s="43"/>
      <c r="AW32" s="43"/>
      <c r="AX32" s="43"/>
      <c r="AY32" s="43"/>
      <c r="AZ32" s="39">
        <f t="shared" si="7"/>
        <v>0</v>
      </c>
      <c r="BA32" s="39">
        <f t="shared" si="8"/>
        <v>0</v>
      </c>
      <c r="BB32" s="39">
        <v>0</v>
      </c>
      <c r="BC32" s="39">
        <v>0</v>
      </c>
      <c r="BD32" s="39">
        <v>570</v>
      </c>
      <c r="BE32" s="43">
        <v>151.602</v>
      </c>
      <c r="BF32" s="43"/>
      <c r="BG32" s="43"/>
      <c r="BH32" s="43"/>
      <c r="BI32" s="43"/>
      <c r="BJ32" s="43"/>
      <c r="BK32" s="43"/>
      <c r="BL32" s="43"/>
      <c r="BM32" s="43"/>
      <c r="BN32" s="45"/>
      <c r="BO32" s="45"/>
      <c r="BP32" s="45"/>
      <c r="BQ32" s="45"/>
      <c r="BR32" s="43"/>
      <c r="BS32" s="43"/>
      <c r="BT32" s="43"/>
      <c r="BU32" s="43"/>
      <c r="BV32" s="45"/>
      <c r="BW32" s="45"/>
      <c r="BX32" s="43"/>
      <c r="BY32" s="45"/>
      <c r="BZ32" s="43"/>
      <c r="CA32" s="45"/>
      <c r="CB32" s="45"/>
      <c r="CC32" s="45"/>
      <c r="CD32" s="45"/>
      <c r="CE32" s="45"/>
      <c r="CF32" s="39">
        <f t="shared" si="9"/>
        <v>570</v>
      </c>
      <c r="CG32" s="39">
        <f t="shared" si="10"/>
        <v>151.602</v>
      </c>
      <c r="CH32" s="39">
        <v>4490.58744</v>
      </c>
      <c r="CI32" s="39">
        <v>4490.58744</v>
      </c>
      <c r="CJ32" s="39">
        <v>1433.9718500000001</v>
      </c>
      <c r="CK32" s="43">
        <v>1433.9718500000001</v>
      </c>
      <c r="CL32" s="43"/>
      <c r="CM32" s="43"/>
      <c r="CN32" s="43"/>
      <c r="CO32" s="43"/>
      <c r="CP32" s="43"/>
      <c r="CQ32" s="39"/>
      <c r="CR32" s="43"/>
      <c r="CS32" s="43"/>
      <c r="CT32" s="43"/>
      <c r="CU32" s="43"/>
      <c r="CV32" s="43"/>
      <c r="CW32" s="43"/>
      <c r="CX32" s="43"/>
      <c r="CY32" s="43"/>
      <c r="CZ32" s="39"/>
      <c r="DA32" s="45"/>
      <c r="DB32" s="45"/>
      <c r="DC32" s="45"/>
      <c r="DD32" s="45"/>
      <c r="DE32" s="45"/>
      <c r="DF32" s="39">
        <f t="shared" si="11"/>
        <v>5924.55929</v>
      </c>
      <c r="DG32" s="39">
        <f t="shared" si="12"/>
        <v>5924.55929</v>
      </c>
      <c r="DH32" s="39"/>
      <c r="DI32" s="39"/>
      <c r="DJ32" s="39">
        <v>0</v>
      </c>
      <c r="DK32" s="39">
        <f t="shared" si="13"/>
        <v>0</v>
      </c>
      <c r="DL32" s="39"/>
      <c r="DM32" s="39"/>
      <c r="DN32" s="43"/>
      <c r="DO32" s="43"/>
      <c r="DP32" s="39">
        <f t="shared" si="14"/>
        <v>0</v>
      </c>
      <c r="DQ32" s="39">
        <f t="shared" si="15"/>
        <v>0</v>
      </c>
      <c r="DR32" s="39"/>
      <c r="DS32" s="39"/>
      <c r="DT32" s="43"/>
      <c r="DU32" s="43"/>
      <c r="DV32" s="43"/>
      <c r="DW32" s="43"/>
      <c r="DX32" s="43"/>
      <c r="DY32" s="43"/>
      <c r="DZ32" s="39"/>
      <c r="EA32" s="39"/>
      <c r="EB32" s="43"/>
      <c r="EC32" s="43"/>
      <c r="ED32" s="43"/>
      <c r="EE32" s="43"/>
      <c r="EF32" s="39">
        <v>0</v>
      </c>
      <c r="EG32" s="43"/>
      <c r="EH32" s="43">
        <v>0</v>
      </c>
      <c r="EI32" s="45"/>
      <c r="EJ32" s="39">
        <v>0</v>
      </c>
      <c r="EK32" s="43">
        <v>0</v>
      </c>
      <c r="EL32" s="43"/>
      <c r="EM32" s="43"/>
      <c r="EN32" s="43"/>
      <c r="EO32" s="43"/>
      <c r="EP32" s="43"/>
      <c r="EQ32" s="43"/>
      <c r="ER32" s="43"/>
      <c r="ES32" s="43"/>
      <c r="ET32" s="135"/>
      <c r="EU32" s="135"/>
      <c r="EV32" s="135"/>
      <c r="EW32" s="135"/>
      <c r="EX32" s="43"/>
      <c r="EY32" s="43"/>
      <c r="EZ32" s="43"/>
      <c r="FA32" s="43"/>
      <c r="FB32" s="37">
        <f t="shared" si="16"/>
        <v>0</v>
      </c>
      <c r="FC32" s="37">
        <f t="shared" si="17"/>
        <v>0</v>
      </c>
      <c r="FD32" s="39"/>
      <c r="FE32" s="39"/>
      <c r="FF32" s="43"/>
      <c r="FG32" s="43"/>
      <c r="FH32" s="132">
        <f t="shared" si="18"/>
        <v>0</v>
      </c>
      <c r="FI32" s="132">
        <f t="shared" si="19"/>
        <v>0</v>
      </c>
      <c r="FJ32" s="39"/>
      <c r="FK32" s="39"/>
      <c r="FL32" s="43"/>
      <c r="FM32" s="43"/>
      <c r="FN32" s="43"/>
      <c r="FO32" s="43"/>
      <c r="FP32" s="43"/>
      <c r="FQ32" s="43"/>
      <c r="FR32" s="39"/>
      <c r="FS32" s="135"/>
      <c r="FT32" s="43"/>
      <c r="FU32" s="43"/>
      <c r="FV32" s="43"/>
      <c r="FW32" s="43"/>
      <c r="FX32" s="43"/>
      <c r="FY32" s="43"/>
      <c r="FZ32" s="43"/>
      <c r="GA32" s="43"/>
      <c r="GB32" s="43"/>
      <c r="GC32" s="43"/>
      <c r="GD32" s="135"/>
      <c r="GE32" s="135"/>
      <c r="GF32" s="43"/>
      <c r="GG32" s="43"/>
      <c r="GH32" s="43"/>
      <c r="GI32" s="43"/>
      <c r="GJ32" s="43"/>
      <c r="GK32" s="43"/>
      <c r="GL32" s="43"/>
      <c r="GM32" s="43"/>
      <c r="GN32" s="43"/>
      <c r="GO32" s="43"/>
      <c r="GP32" s="43"/>
      <c r="GQ32" s="43"/>
      <c r="GR32" s="43"/>
      <c r="GS32" s="43"/>
      <c r="GT32" s="43"/>
      <c r="GU32" s="43"/>
      <c r="GV32" s="43"/>
      <c r="GW32" s="43"/>
      <c r="GX32" s="45"/>
      <c r="GY32" s="45"/>
      <c r="GZ32" s="43"/>
      <c r="HA32" s="43"/>
      <c r="HB32" s="43"/>
      <c r="HC32" s="43"/>
      <c r="HD32" s="39">
        <f t="shared" si="20"/>
        <v>0</v>
      </c>
      <c r="HE32" s="39">
        <f t="shared" si="21"/>
        <v>0</v>
      </c>
      <c r="HF32" s="39"/>
      <c r="HG32" s="39"/>
      <c r="HH32" s="39"/>
      <c r="HI32" s="43"/>
      <c r="HJ32" s="43"/>
      <c r="HK32" s="43"/>
      <c r="HL32" s="43"/>
      <c r="HM32" s="43"/>
      <c r="HN32" s="136"/>
      <c r="HO32" s="136"/>
      <c r="HP32" s="39">
        <f t="shared" si="22"/>
        <v>0</v>
      </c>
      <c r="HQ32" s="39">
        <f t="shared" si="23"/>
        <v>0</v>
      </c>
      <c r="HR32" s="39"/>
      <c r="HS32" s="39"/>
      <c r="HT32" s="39"/>
      <c r="HU32" s="43"/>
      <c r="HV32" s="39"/>
      <c r="HW32" s="39"/>
      <c r="HX32" s="39">
        <f t="shared" si="24"/>
        <v>0</v>
      </c>
      <c r="HY32" s="39">
        <f t="shared" si="25"/>
        <v>0</v>
      </c>
    </row>
    <row r="33" spans="1:233" ht="12.75">
      <c r="A33" s="14" t="s">
        <v>208</v>
      </c>
      <c r="B33" s="34"/>
      <c r="C33" s="34"/>
      <c r="D33" s="39">
        <f>389+389+390+325+325+324+325+325+324+259.7+259.7+259.6</f>
        <v>3894.9999999999995</v>
      </c>
      <c r="E33" s="39">
        <f>389+389+390+325+325+324+325+325+324+259.7+259.7+259.6</f>
        <v>3894.9999999999995</v>
      </c>
      <c r="F33" s="34"/>
      <c r="G33" s="34"/>
      <c r="H33" s="34"/>
      <c r="I33" s="34"/>
      <c r="J33" s="34"/>
      <c r="K33" s="34"/>
      <c r="L33" s="34"/>
      <c r="M33" s="34"/>
      <c r="N33" s="34"/>
      <c r="O33" s="34"/>
      <c r="P33" s="34"/>
      <c r="Q33" s="34"/>
      <c r="R33" s="39"/>
      <c r="S33" s="39"/>
      <c r="T33" s="39"/>
      <c r="U33" s="39"/>
      <c r="V33" s="39"/>
      <c r="W33" s="34"/>
      <c r="X33" s="34"/>
      <c r="Y33" s="34"/>
      <c r="Z33" s="34"/>
      <c r="AA33" s="34"/>
      <c r="AB33" s="34"/>
      <c r="AC33" s="34"/>
      <c r="AD33" s="39">
        <v>1913</v>
      </c>
      <c r="AE33" s="39">
        <v>1913</v>
      </c>
      <c r="AF33" s="39">
        <v>293</v>
      </c>
      <c r="AG33" s="39">
        <f>24.4+24.4+24.4+24.4+24.4+22.4+23.9+23.9+24.4+24.4+5+47</f>
        <v>293</v>
      </c>
      <c r="AH33" s="126">
        <f t="shared" si="5"/>
        <v>6101</v>
      </c>
      <c r="AI33" s="126">
        <f t="shared" si="6"/>
        <v>6101</v>
      </c>
      <c r="AJ33" s="43"/>
      <c r="AK33" s="43"/>
      <c r="AL33" s="134"/>
      <c r="AM33" s="41"/>
      <c r="AN33" s="41"/>
      <c r="AO33" s="41"/>
      <c r="AP33" s="41"/>
      <c r="AQ33" s="41"/>
      <c r="AR33" s="39"/>
      <c r="AS33" s="39"/>
      <c r="AT33" s="43"/>
      <c r="AU33" s="43"/>
      <c r="AV33" s="43"/>
      <c r="AW33" s="43"/>
      <c r="AX33" s="43"/>
      <c r="AY33" s="43"/>
      <c r="AZ33" s="39">
        <f t="shared" si="7"/>
        <v>0</v>
      </c>
      <c r="BA33" s="39">
        <f t="shared" si="8"/>
        <v>0</v>
      </c>
      <c r="BB33" s="39">
        <v>0</v>
      </c>
      <c r="BC33" s="39">
        <v>0</v>
      </c>
      <c r="BD33" s="39">
        <v>0</v>
      </c>
      <c r="BE33" s="43">
        <v>0</v>
      </c>
      <c r="BF33" s="43"/>
      <c r="BG33" s="43"/>
      <c r="BH33" s="43"/>
      <c r="BI33" s="43"/>
      <c r="BJ33" s="43"/>
      <c r="BK33" s="43"/>
      <c r="BL33" s="43"/>
      <c r="BM33" s="43"/>
      <c r="BN33" s="45"/>
      <c r="BO33" s="45"/>
      <c r="BP33" s="45"/>
      <c r="BQ33" s="45"/>
      <c r="BR33" s="43"/>
      <c r="BS33" s="43"/>
      <c r="BT33" s="43"/>
      <c r="BU33" s="43"/>
      <c r="BV33" s="45"/>
      <c r="BW33" s="45"/>
      <c r="BX33" s="43"/>
      <c r="BY33" s="45"/>
      <c r="BZ33" s="43"/>
      <c r="CA33" s="45"/>
      <c r="CB33" s="45"/>
      <c r="CC33" s="45"/>
      <c r="CD33" s="45"/>
      <c r="CE33" s="45"/>
      <c r="CF33" s="39">
        <f t="shared" si="9"/>
        <v>0</v>
      </c>
      <c r="CG33" s="39">
        <f t="shared" si="10"/>
        <v>0</v>
      </c>
      <c r="CH33" s="39"/>
      <c r="CI33" s="39"/>
      <c r="CJ33" s="39"/>
      <c r="CK33" s="45"/>
      <c r="CL33" s="45"/>
      <c r="CM33" s="43"/>
      <c r="CN33" s="43"/>
      <c r="CO33" s="43"/>
      <c r="CP33" s="43"/>
      <c r="CQ33" s="39"/>
      <c r="CR33" s="43"/>
      <c r="CS33" s="43"/>
      <c r="CT33" s="43"/>
      <c r="CU33" s="43"/>
      <c r="CV33" s="43"/>
      <c r="CW33" s="43"/>
      <c r="CX33" s="43"/>
      <c r="CY33" s="43"/>
      <c r="CZ33" s="39"/>
      <c r="DA33" s="45"/>
      <c r="DB33" s="45"/>
      <c r="DC33" s="45"/>
      <c r="DD33" s="45"/>
      <c r="DE33" s="45"/>
      <c r="DF33" s="39">
        <f t="shared" si="11"/>
        <v>0</v>
      </c>
      <c r="DG33" s="39">
        <f t="shared" si="12"/>
        <v>0</v>
      </c>
      <c r="DH33" s="39"/>
      <c r="DI33" s="39"/>
      <c r="DJ33" s="39">
        <v>0</v>
      </c>
      <c r="DK33" s="39">
        <f t="shared" si="13"/>
        <v>0</v>
      </c>
      <c r="DL33" s="39"/>
      <c r="DM33" s="39"/>
      <c r="DN33" s="43"/>
      <c r="DO33" s="43"/>
      <c r="DP33" s="39">
        <f t="shared" si="14"/>
        <v>0</v>
      </c>
      <c r="DQ33" s="39">
        <f t="shared" si="15"/>
        <v>0</v>
      </c>
      <c r="DR33" s="39"/>
      <c r="DS33" s="39"/>
      <c r="DT33" s="43"/>
      <c r="DU33" s="43"/>
      <c r="DV33" s="43"/>
      <c r="DW33" s="43"/>
      <c r="DX33" s="43"/>
      <c r="DY33" s="43"/>
      <c r="DZ33" s="39"/>
      <c r="EA33" s="39"/>
      <c r="EB33" s="43"/>
      <c r="EC33" s="43"/>
      <c r="ED33" s="43"/>
      <c r="EE33" s="43"/>
      <c r="EF33" s="39">
        <v>0</v>
      </c>
      <c r="EG33" s="43"/>
      <c r="EH33" s="43">
        <v>0</v>
      </c>
      <c r="EI33" s="45"/>
      <c r="EJ33" s="39">
        <v>0</v>
      </c>
      <c r="EK33" s="43">
        <v>0</v>
      </c>
      <c r="EL33" s="43"/>
      <c r="EM33" s="43"/>
      <c r="EN33" s="43"/>
      <c r="EO33" s="43"/>
      <c r="EP33" s="43"/>
      <c r="EQ33" s="43"/>
      <c r="ER33" s="43"/>
      <c r="ES33" s="43"/>
      <c r="ET33" s="135"/>
      <c r="EU33" s="135"/>
      <c r="EV33" s="135"/>
      <c r="EW33" s="135"/>
      <c r="EX33" s="43"/>
      <c r="EY33" s="43"/>
      <c r="EZ33" s="43"/>
      <c r="FA33" s="43"/>
      <c r="FB33" s="37">
        <f t="shared" si="16"/>
        <v>0</v>
      </c>
      <c r="FC33" s="37">
        <f t="shared" si="17"/>
        <v>0</v>
      </c>
      <c r="FD33" s="39"/>
      <c r="FE33" s="39"/>
      <c r="FF33" s="43"/>
      <c r="FG33" s="43"/>
      <c r="FH33" s="132">
        <f t="shared" si="18"/>
        <v>0</v>
      </c>
      <c r="FI33" s="132">
        <f t="shared" si="19"/>
        <v>0</v>
      </c>
      <c r="FJ33" s="39"/>
      <c r="FK33" s="39"/>
      <c r="FL33" s="43"/>
      <c r="FM33" s="43"/>
      <c r="FN33" s="43"/>
      <c r="FO33" s="43"/>
      <c r="FP33" s="43"/>
      <c r="FQ33" s="43"/>
      <c r="FR33" s="39"/>
      <c r="FS33" s="135"/>
      <c r="FT33" s="43"/>
      <c r="FU33" s="43"/>
      <c r="FV33" s="43"/>
      <c r="FW33" s="43"/>
      <c r="FX33" s="43"/>
      <c r="FY33" s="43"/>
      <c r="FZ33" s="43"/>
      <c r="GA33" s="43"/>
      <c r="GB33" s="43"/>
      <c r="GC33" s="43"/>
      <c r="GD33" s="135"/>
      <c r="GE33" s="135"/>
      <c r="GF33" s="43"/>
      <c r="GG33" s="43"/>
      <c r="GH33" s="43"/>
      <c r="GI33" s="43"/>
      <c r="GJ33" s="43"/>
      <c r="GK33" s="43"/>
      <c r="GL33" s="43"/>
      <c r="GM33" s="43"/>
      <c r="GN33" s="43"/>
      <c r="GO33" s="43"/>
      <c r="GP33" s="43"/>
      <c r="GQ33" s="43"/>
      <c r="GR33" s="43"/>
      <c r="GS33" s="43"/>
      <c r="GT33" s="43"/>
      <c r="GU33" s="43"/>
      <c r="GV33" s="43"/>
      <c r="GW33" s="43"/>
      <c r="GX33" s="45"/>
      <c r="GY33" s="45"/>
      <c r="GZ33" s="43"/>
      <c r="HA33" s="43"/>
      <c r="HB33" s="43"/>
      <c r="HC33" s="43"/>
      <c r="HD33" s="39">
        <f t="shared" si="20"/>
        <v>0</v>
      </c>
      <c r="HE33" s="39">
        <f t="shared" si="21"/>
        <v>0</v>
      </c>
      <c r="HF33" s="39"/>
      <c r="HG33" s="39"/>
      <c r="HH33" s="39"/>
      <c r="HI33" s="43"/>
      <c r="HJ33" s="43"/>
      <c r="HK33" s="43"/>
      <c r="HL33" s="43"/>
      <c r="HM33" s="43"/>
      <c r="HN33" s="136"/>
      <c r="HO33" s="136"/>
      <c r="HP33" s="39">
        <f t="shared" si="22"/>
        <v>0</v>
      </c>
      <c r="HQ33" s="39">
        <f t="shared" si="23"/>
        <v>0</v>
      </c>
      <c r="HR33" s="39"/>
      <c r="HS33" s="39"/>
      <c r="HT33" s="39"/>
      <c r="HU33" s="43"/>
      <c r="HV33" s="39"/>
      <c r="HW33" s="39"/>
      <c r="HX33" s="39">
        <f t="shared" si="24"/>
        <v>0</v>
      </c>
      <c r="HY33" s="39">
        <f t="shared" si="25"/>
        <v>0</v>
      </c>
    </row>
    <row r="34" spans="1:233" ht="12.75" customHeight="1">
      <c r="A34" s="14" t="s">
        <v>227</v>
      </c>
      <c r="B34" s="34"/>
      <c r="C34" s="34"/>
      <c r="D34" s="39">
        <f>489+489+490+408+408+408+408+408+408+326.3+326.4+326.3</f>
        <v>4895</v>
      </c>
      <c r="E34" s="39">
        <f>489+489+490+408+408+408+408+408+408+326.3+326.4+326.3</f>
        <v>4895</v>
      </c>
      <c r="F34" s="34"/>
      <c r="G34" s="34"/>
      <c r="H34" s="34"/>
      <c r="I34" s="34"/>
      <c r="J34" s="34"/>
      <c r="K34" s="34"/>
      <c r="L34" s="34"/>
      <c r="M34" s="34"/>
      <c r="N34" s="34"/>
      <c r="O34" s="34"/>
      <c r="P34" s="34"/>
      <c r="Q34" s="34"/>
      <c r="R34" s="39">
        <v>140</v>
      </c>
      <c r="S34" s="39">
        <f>139.55806</f>
        <v>139.55806</v>
      </c>
      <c r="T34" s="39">
        <v>2.3232600000000003</v>
      </c>
      <c r="U34" s="39">
        <v>2.32326</v>
      </c>
      <c r="V34" s="39"/>
      <c r="W34" s="34"/>
      <c r="X34" s="34"/>
      <c r="Y34" s="34"/>
      <c r="Z34" s="34"/>
      <c r="AA34" s="34"/>
      <c r="AB34" s="34"/>
      <c r="AC34" s="34"/>
      <c r="AD34" s="39"/>
      <c r="AE34" s="39"/>
      <c r="AF34" s="39">
        <v>147</v>
      </c>
      <c r="AG34" s="39">
        <f>12.3+12.3+12.3+12.3+12.3+7.6+3.7+22.4+16.6+17+18.2</f>
        <v>146.99999999999997</v>
      </c>
      <c r="AH34" s="126">
        <f t="shared" si="5"/>
        <v>5184.32326</v>
      </c>
      <c r="AI34" s="126">
        <f t="shared" si="6"/>
        <v>5183.88132</v>
      </c>
      <c r="AJ34" s="43"/>
      <c r="AK34" s="43"/>
      <c r="AL34" s="134"/>
      <c r="AM34" s="41"/>
      <c r="AN34" s="41"/>
      <c r="AO34" s="41"/>
      <c r="AP34" s="41"/>
      <c r="AQ34" s="41"/>
      <c r="AR34" s="39"/>
      <c r="AS34" s="39"/>
      <c r="AT34" s="43"/>
      <c r="AU34" s="43"/>
      <c r="AV34" s="43"/>
      <c r="AW34" s="43"/>
      <c r="AX34" s="43"/>
      <c r="AY34" s="43"/>
      <c r="AZ34" s="39">
        <f t="shared" si="7"/>
        <v>0</v>
      </c>
      <c r="BA34" s="39">
        <f t="shared" si="8"/>
        <v>0</v>
      </c>
      <c r="BB34" s="39">
        <v>0</v>
      </c>
      <c r="BC34" s="39">
        <v>0</v>
      </c>
      <c r="BD34" s="39">
        <v>0</v>
      </c>
      <c r="BE34" s="43">
        <v>0</v>
      </c>
      <c r="BF34" s="43"/>
      <c r="BG34" s="43"/>
      <c r="BH34" s="43"/>
      <c r="BI34" s="43"/>
      <c r="BJ34" s="43"/>
      <c r="BK34" s="43"/>
      <c r="BL34" s="43"/>
      <c r="BM34" s="43"/>
      <c r="BN34" s="45"/>
      <c r="BO34" s="45"/>
      <c r="BP34" s="45"/>
      <c r="BQ34" s="45"/>
      <c r="BR34" s="43"/>
      <c r="BS34" s="43"/>
      <c r="BT34" s="43"/>
      <c r="BU34" s="43"/>
      <c r="BV34" s="45"/>
      <c r="BW34" s="45"/>
      <c r="BX34" s="43"/>
      <c r="BY34" s="45"/>
      <c r="BZ34" s="43"/>
      <c r="CA34" s="45"/>
      <c r="CB34" s="45"/>
      <c r="CC34" s="45"/>
      <c r="CD34" s="45"/>
      <c r="CE34" s="45"/>
      <c r="CF34" s="39">
        <f t="shared" si="9"/>
        <v>0</v>
      </c>
      <c r="CG34" s="39">
        <f t="shared" si="10"/>
        <v>0</v>
      </c>
      <c r="CH34" s="39"/>
      <c r="CI34" s="39"/>
      <c r="CJ34" s="39"/>
      <c r="CK34" s="45"/>
      <c r="CL34" s="45"/>
      <c r="CM34" s="43"/>
      <c r="CN34" s="43"/>
      <c r="CO34" s="43"/>
      <c r="CP34" s="43"/>
      <c r="CQ34" s="39"/>
      <c r="CR34" s="43"/>
      <c r="CS34" s="43"/>
      <c r="CT34" s="43"/>
      <c r="CU34" s="43"/>
      <c r="CV34" s="43"/>
      <c r="CW34" s="43"/>
      <c r="CX34" s="43"/>
      <c r="CY34" s="43"/>
      <c r="CZ34" s="39"/>
      <c r="DA34" s="45"/>
      <c r="DB34" s="45"/>
      <c r="DC34" s="45"/>
      <c r="DD34" s="45"/>
      <c r="DE34" s="45"/>
      <c r="DF34" s="39">
        <f t="shared" si="11"/>
        <v>0</v>
      </c>
      <c r="DG34" s="39">
        <f t="shared" si="12"/>
        <v>0</v>
      </c>
      <c r="DH34" s="39"/>
      <c r="DI34" s="39"/>
      <c r="DJ34" s="39">
        <v>0</v>
      </c>
      <c r="DK34" s="39">
        <f t="shared" si="13"/>
        <v>0</v>
      </c>
      <c r="DL34" s="39"/>
      <c r="DM34" s="39"/>
      <c r="DN34" s="43"/>
      <c r="DO34" s="43"/>
      <c r="DP34" s="39">
        <f t="shared" si="14"/>
        <v>0</v>
      </c>
      <c r="DQ34" s="39">
        <f t="shared" si="15"/>
        <v>0</v>
      </c>
      <c r="DR34" s="39"/>
      <c r="DS34" s="39"/>
      <c r="DT34" s="43"/>
      <c r="DU34" s="43"/>
      <c r="DV34" s="43"/>
      <c r="DW34" s="43"/>
      <c r="DX34" s="43"/>
      <c r="DY34" s="43"/>
      <c r="DZ34" s="39"/>
      <c r="EA34" s="39"/>
      <c r="EB34" s="43"/>
      <c r="EC34" s="43"/>
      <c r="ED34" s="43"/>
      <c r="EE34" s="43"/>
      <c r="EF34" s="39">
        <v>0</v>
      </c>
      <c r="EG34" s="43"/>
      <c r="EH34" s="43">
        <v>0</v>
      </c>
      <c r="EI34" s="45"/>
      <c r="EJ34" s="39">
        <v>0</v>
      </c>
      <c r="EK34" s="43">
        <v>0</v>
      </c>
      <c r="EL34" s="43"/>
      <c r="EM34" s="43"/>
      <c r="EN34" s="43"/>
      <c r="EO34" s="43"/>
      <c r="EP34" s="43"/>
      <c r="EQ34" s="43"/>
      <c r="ER34" s="43"/>
      <c r="ES34" s="43"/>
      <c r="ET34" s="135"/>
      <c r="EU34" s="135"/>
      <c r="EV34" s="135"/>
      <c r="EW34" s="135"/>
      <c r="EX34" s="43"/>
      <c r="EY34" s="43"/>
      <c r="EZ34" s="43"/>
      <c r="FA34" s="43"/>
      <c r="FB34" s="37">
        <f t="shared" si="16"/>
        <v>0</v>
      </c>
      <c r="FC34" s="37">
        <f t="shared" si="17"/>
        <v>0</v>
      </c>
      <c r="FD34" s="39"/>
      <c r="FE34" s="39"/>
      <c r="FF34" s="43"/>
      <c r="FG34" s="43"/>
      <c r="FH34" s="132">
        <f t="shared" si="18"/>
        <v>0</v>
      </c>
      <c r="FI34" s="132">
        <f t="shared" si="19"/>
        <v>0</v>
      </c>
      <c r="FJ34" s="39"/>
      <c r="FK34" s="39"/>
      <c r="FL34" s="43"/>
      <c r="FM34" s="43"/>
      <c r="FN34" s="43"/>
      <c r="FO34" s="43"/>
      <c r="FP34" s="43"/>
      <c r="FQ34" s="43"/>
      <c r="FR34" s="39"/>
      <c r="FS34" s="135"/>
      <c r="FT34" s="43"/>
      <c r="FU34" s="43"/>
      <c r="FV34" s="43"/>
      <c r="FW34" s="43"/>
      <c r="FX34" s="43"/>
      <c r="FY34" s="43"/>
      <c r="FZ34" s="43"/>
      <c r="GA34" s="43"/>
      <c r="GB34" s="43"/>
      <c r="GC34" s="43"/>
      <c r="GD34" s="135"/>
      <c r="GE34" s="135"/>
      <c r="GF34" s="43"/>
      <c r="GG34" s="43"/>
      <c r="GH34" s="43"/>
      <c r="GI34" s="43"/>
      <c r="GJ34" s="43"/>
      <c r="GK34" s="43"/>
      <c r="GL34" s="43"/>
      <c r="GM34" s="43"/>
      <c r="GN34" s="43"/>
      <c r="GO34" s="43"/>
      <c r="GP34" s="43"/>
      <c r="GQ34" s="43"/>
      <c r="GR34" s="43"/>
      <c r="GS34" s="43"/>
      <c r="GT34" s="43"/>
      <c r="GU34" s="43"/>
      <c r="GV34" s="43"/>
      <c r="GW34" s="43"/>
      <c r="GX34" s="45"/>
      <c r="GY34" s="45"/>
      <c r="GZ34" s="43"/>
      <c r="HA34" s="43"/>
      <c r="HB34" s="43"/>
      <c r="HC34" s="43"/>
      <c r="HD34" s="39">
        <f t="shared" si="20"/>
        <v>0</v>
      </c>
      <c r="HE34" s="39">
        <f t="shared" si="21"/>
        <v>0</v>
      </c>
      <c r="HF34" s="39"/>
      <c r="HG34" s="39"/>
      <c r="HH34" s="39"/>
      <c r="HI34" s="43"/>
      <c r="HJ34" s="43"/>
      <c r="HK34" s="43"/>
      <c r="HL34" s="43"/>
      <c r="HM34" s="43"/>
      <c r="HN34" s="136"/>
      <c r="HO34" s="136"/>
      <c r="HP34" s="39">
        <f t="shared" si="22"/>
        <v>0</v>
      </c>
      <c r="HQ34" s="39">
        <f t="shared" si="23"/>
        <v>0</v>
      </c>
      <c r="HR34" s="39"/>
      <c r="HS34" s="39"/>
      <c r="HT34" s="39"/>
      <c r="HU34" s="43"/>
      <c r="HV34" s="39"/>
      <c r="HW34" s="39"/>
      <c r="HX34" s="39">
        <f t="shared" si="24"/>
        <v>0</v>
      </c>
      <c r="HY34" s="39">
        <f t="shared" si="25"/>
        <v>0</v>
      </c>
    </row>
    <row r="35" spans="1:233" ht="12.75">
      <c r="A35" s="14" t="s">
        <v>228</v>
      </c>
      <c r="B35" s="34"/>
      <c r="C35" s="34"/>
      <c r="D35" s="39">
        <f>283+283+284+236+236+237+236+236+237+189+189+189</f>
        <v>2835</v>
      </c>
      <c r="E35" s="39">
        <f>283+283+284+236+236+237+236+236+237+189+189+189</f>
        <v>2835</v>
      </c>
      <c r="F35" s="34"/>
      <c r="G35" s="34"/>
      <c r="H35" s="34"/>
      <c r="I35" s="34"/>
      <c r="J35" s="34"/>
      <c r="K35" s="34"/>
      <c r="L35" s="34"/>
      <c r="M35" s="34"/>
      <c r="N35" s="34"/>
      <c r="O35" s="34"/>
      <c r="P35" s="34"/>
      <c r="Q35" s="34"/>
      <c r="R35" s="39"/>
      <c r="S35" s="34"/>
      <c r="T35" s="39"/>
      <c r="U35" s="39"/>
      <c r="V35" s="39"/>
      <c r="W35" s="34"/>
      <c r="X35" s="34"/>
      <c r="Y35" s="34"/>
      <c r="Z35" s="34"/>
      <c r="AA35" s="34"/>
      <c r="AB35" s="34"/>
      <c r="AC35" s="34"/>
      <c r="AD35" s="39"/>
      <c r="AE35" s="39"/>
      <c r="AF35" s="39">
        <v>147</v>
      </c>
      <c r="AG35" s="137">
        <f>12.3+12.3+12.3+12.3+12.3+11.2+22.7+18.7+15.3+9+8.6</f>
        <v>147</v>
      </c>
      <c r="AH35" s="126">
        <f t="shared" si="5"/>
        <v>2982</v>
      </c>
      <c r="AI35" s="126">
        <f t="shared" si="6"/>
        <v>2982</v>
      </c>
      <c r="AJ35" s="43"/>
      <c r="AK35" s="43"/>
      <c r="AL35" s="134"/>
      <c r="AM35" s="41"/>
      <c r="AN35" s="41"/>
      <c r="AO35" s="41"/>
      <c r="AP35" s="41"/>
      <c r="AQ35" s="41"/>
      <c r="AR35" s="39"/>
      <c r="AS35" s="39"/>
      <c r="AT35" s="43"/>
      <c r="AU35" s="43"/>
      <c r="AV35" s="43"/>
      <c r="AW35" s="43"/>
      <c r="AX35" s="43"/>
      <c r="AY35" s="43"/>
      <c r="AZ35" s="39">
        <f t="shared" si="7"/>
        <v>0</v>
      </c>
      <c r="BA35" s="39">
        <f t="shared" si="8"/>
        <v>0</v>
      </c>
      <c r="BB35" s="39">
        <v>0</v>
      </c>
      <c r="BC35" s="39">
        <v>0</v>
      </c>
      <c r="BD35" s="39">
        <v>0</v>
      </c>
      <c r="BE35" s="43">
        <v>0</v>
      </c>
      <c r="BF35" s="43"/>
      <c r="BG35" s="43"/>
      <c r="BH35" s="43"/>
      <c r="BI35" s="43"/>
      <c r="BJ35" s="43"/>
      <c r="BK35" s="43"/>
      <c r="BL35" s="43"/>
      <c r="BM35" s="43"/>
      <c r="BN35" s="45"/>
      <c r="BO35" s="45"/>
      <c r="BP35" s="45"/>
      <c r="BQ35" s="45"/>
      <c r="BR35" s="43"/>
      <c r="BS35" s="43"/>
      <c r="BT35" s="43"/>
      <c r="BU35" s="43"/>
      <c r="BV35" s="45"/>
      <c r="BW35" s="45"/>
      <c r="BX35" s="43"/>
      <c r="BY35" s="45"/>
      <c r="BZ35" s="43"/>
      <c r="CA35" s="45"/>
      <c r="CB35" s="45"/>
      <c r="CC35" s="45"/>
      <c r="CD35" s="45"/>
      <c r="CE35" s="45"/>
      <c r="CF35" s="39">
        <f t="shared" si="9"/>
        <v>0</v>
      </c>
      <c r="CG35" s="39">
        <f t="shared" si="10"/>
        <v>0</v>
      </c>
      <c r="CH35" s="39"/>
      <c r="CI35" s="39"/>
      <c r="CJ35" s="39"/>
      <c r="CK35" s="45"/>
      <c r="CL35" s="45"/>
      <c r="CM35" s="43"/>
      <c r="CN35" s="43"/>
      <c r="CO35" s="43"/>
      <c r="CP35" s="43"/>
      <c r="CQ35" s="39"/>
      <c r="CR35" s="43"/>
      <c r="CS35" s="43"/>
      <c r="CT35" s="43"/>
      <c r="CU35" s="43"/>
      <c r="CV35" s="43"/>
      <c r="CW35" s="43"/>
      <c r="CX35" s="43"/>
      <c r="CY35" s="43"/>
      <c r="CZ35" s="39"/>
      <c r="DA35" s="45"/>
      <c r="DB35" s="45"/>
      <c r="DC35" s="45"/>
      <c r="DD35" s="45"/>
      <c r="DE35" s="45"/>
      <c r="DF35" s="39">
        <f t="shared" si="11"/>
        <v>0</v>
      </c>
      <c r="DG35" s="39">
        <f t="shared" si="12"/>
        <v>0</v>
      </c>
      <c r="DH35" s="39"/>
      <c r="DI35" s="39"/>
      <c r="DJ35" s="39">
        <v>0</v>
      </c>
      <c r="DK35" s="39">
        <f t="shared" si="13"/>
        <v>0</v>
      </c>
      <c r="DL35" s="39"/>
      <c r="DM35" s="39"/>
      <c r="DN35" s="43"/>
      <c r="DO35" s="43"/>
      <c r="DP35" s="39">
        <f t="shared" si="14"/>
        <v>0</v>
      </c>
      <c r="DQ35" s="39">
        <f t="shared" si="15"/>
        <v>0</v>
      </c>
      <c r="DR35" s="39"/>
      <c r="DS35" s="39"/>
      <c r="DT35" s="43"/>
      <c r="DU35" s="43"/>
      <c r="DV35" s="43"/>
      <c r="DW35" s="43"/>
      <c r="DX35" s="43"/>
      <c r="DY35" s="43"/>
      <c r="DZ35" s="39"/>
      <c r="EA35" s="39"/>
      <c r="EB35" s="43"/>
      <c r="EC35" s="43"/>
      <c r="ED35" s="43"/>
      <c r="EE35" s="43"/>
      <c r="EF35" s="39">
        <v>0</v>
      </c>
      <c r="EG35" s="43"/>
      <c r="EH35" s="43">
        <v>0</v>
      </c>
      <c r="EI35" s="45"/>
      <c r="EJ35" s="39">
        <v>0</v>
      </c>
      <c r="EK35" s="43">
        <v>0</v>
      </c>
      <c r="EL35" s="43"/>
      <c r="EM35" s="43"/>
      <c r="EN35" s="43"/>
      <c r="EO35" s="43"/>
      <c r="EP35" s="43"/>
      <c r="EQ35" s="43"/>
      <c r="ER35" s="43"/>
      <c r="ES35" s="43"/>
      <c r="ET35" s="135"/>
      <c r="EU35" s="135"/>
      <c r="EV35" s="135"/>
      <c r="EW35" s="135"/>
      <c r="EX35" s="43"/>
      <c r="EY35" s="43"/>
      <c r="EZ35" s="43"/>
      <c r="FA35" s="43"/>
      <c r="FB35" s="37">
        <f t="shared" si="16"/>
        <v>0</v>
      </c>
      <c r="FC35" s="37">
        <f t="shared" si="17"/>
        <v>0</v>
      </c>
      <c r="FD35" s="39"/>
      <c r="FE35" s="39"/>
      <c r="FF35" s="43"/>
      <c r="FG35" s="43"/>
      <c r="FH35" s="132">
        <f t="shared" si="18"/>
        <v>0</v>
      </c>
      <c r="FI35" s="132">
        <f t="shared" si="19"/>
        <v>0</v>
      </c>
      <c r="FJ35" s="39"/>
      <c r="FK35" s="39"/>
      <c r="FL35" s="43"/>
      <c r="FM35" s="43"/>
      <c r="FN35" s="43"/>
      <c r="FO35" s="43"/>
      <c r="FP35" s="43"/>
      <c r="FQ35" s="43"/>
      <c r="FR35" s="39"/>
      <c r="FS35" s="135"/>
      <c r="FT35" s="43"/>
      <c r="FU35" s="43"/>
      <c r="FV35" s="43"/>
      <c r="FW35" s="43"/>
      <c r="FX35" s="43"/>
      <c r="FY35" s="43"/>
      <c r="FZ35" s="43"/>
      <c r="GA35" s="43"/>
      <c r="GB35" s="43"/>
      <c r="GC35" s="43"/>
      <c r="GD35" s="135"/>
      <c r="GE35" s="135"/>
      <c r="GF35" s="43"/>
      <c r="GG35" s="43"/>
      <c r="GH35" s="43"/>
      <c r="GI35" s="43"/>
      <c r="GJ35" s="43"/>
      <c r="GK35" s="43"/>
      <c r="GL35" s="43"/>
      <c r="GM35" s="43"/>
      <c r="GN35" s="43"/>
      <c r="GO35" s="43"/>
      <c r="GP35" s="43"/>
      <c r="GQ35" s="43"/>
      <c r="GR35" s="43"/>
      <c r="GS35" s="43"/>
      <c r="GT35" s="43"/>
      <c r="GU35" s="43"/>
      <c r="GV35" s="43"/>
      <c r="GW35" s="43"/>
      <c r="GX35" s="45"/>
      <c r="GY35" s="45"/>
      <c r="GZ35" s="43"/>
      <c r="HA35" s="43"/>
      <c r="HB35" s="43"/>
      <c r="HC35" s="43"/>
      <c r="HD35" s="39">
        <f t="shared" si="20"/>
        <v>0</v>
      </c>
      <c r="HE35" s="39">
        <f t="shared" si="21"/>
        <v>0</v>
      </c>
      <c r="HF35" s="39"/>
      <c r="HG35" s="39"/>
      <c r="HH35" s="39"/>
      <c r="HI35" s="43"/>
      <c r="HJ35" s="43"/>
      <c r="HK35" s="43"/>
      <c r="HL35" s="43"/>
      <c r="HM35" s="43"/>
      <c r="HN35" s="136"/>
      <c r="HO35" s="136"/>
      <c r="HP35" s="39">
        <f t="shared" si="22"/>
        <v>0</v>
      </c>
      <c r="HQ35" s="39">
        <f t="shared" si="23"/>
        <v>0</v>
      </c>
      <c r="HR35" s="39"/>
      <c r="HS35" s="39"/>
      <c r="HT35" s="39"/>
      <c r="HU35" s="43"/>
      <c r="HV35" s="39"/>
      <c r="HW35" s="39"/>
      <c r="HX35" s="39">
        <f t="shared" si="24"/>
        <v>0</v>
      </c>
      <c r="HY35" s="39">
        <f t="shared" si="25"/>
        <v>0</v>
      </c>
    </row>
    <row r="36" spans="1:233" ht="12.75" customHeight="1">
      <c r="A36" s="14" t="s">
        <v>229</v>
      </c>
      <c r="B36" s="34"/>
      <c r="C36" s="34"/>
      <c r="D36" s="39">
        <f>139+139+138+116+116+115+116+116+115+92.3+92.4+92.3</f>
        <v>1387</v>
      </c>
      <c r="E36" s="39">
        <f>139+139+138+116+116+115+116+116+115+92.3+92.4+92.3</f>
        <v>1387</v>
      </c>
      <c r="F36" s="34"/>
      <c r="G36" s="34"/>
      <c r="H36" s="34"/>
      <c r="I36" s="34"/>
      <c r="J36" s="34"/>
      <c r="K36" s="34"/>
      <c r="L36" s="34"/>
      <c r="M36" s="34"/>
      <c r="N36" s="34"/>
      <c r="O36" s="34"/>
      <c r="P36" s="34"/>
      <c r="Q36" s="34"/>
      <c r="R36" s="39"/>
      <c r="S36" s="34"/>
      <c r="T36" s="39"/>
      <c r="U36" s="39"/>
      <c r="V36" s="39"/>
      <c r="W36" s="34"/>
      <c r="X36" s="34"/>
      <c r="Y36" s="34"/>
      <c r="Z36" s="34"/>
      <c r="AA36" s="34"/>
      <c r="AB36" s="34"/>
      <c r="AC36" s="34"/>
      <c r="AD36" s="39"/>
      <c r="AE36" s="39"/>
      <c r="AF36" s="39">
        <v>73</v>
      </c>
      <c r="AG36" s="39">
        <f>6.1+6.1+6.1+6.1+6.1+4.5+4.5+4.5+4.5+5+19.5</f>
        <v>73</v>
      </c>
      <c r="AH36" s="126">
        <f t="shared" si="5"/>
        <v>1460</v>
      </c>
      <c r="AI36" s="126">
        <f t="shared" si="6"/>
        <v>1460</v>
      </c>
      <c r="AJ36" s="43"/>
      <c r="AK36" s="43"/>
      <c r="AL36" s="134"/>
      <c r="AM36" s="41"/>
      <c r="AN36" s="41"/>
      <c r="AO36" s="41"/>
      <c r="AP36" s="41"/>
      <c r="AQ36" s="41"/>
      <c r="AR36" s="39"/>
      <c r="AS36" s="39"/>
      <c r="AT36" s="43"/>
      <c r="AU36" s="43"/>
      <c r="AV36" s="43"/>
      <c r="AW36" s="43"/>
      <c r="AX36" s="43"/>
      <c r="AY36" s="43"/>
      <c r="AZ36" s="39">
        <f t="shared" si="7"/>
        <v>0</v>
      </c>
      <c r="BA36" s="39">
        <f t="shared" si="8"/>
        <v>0</v>
      </c>
      <c r="BB36" s="39">
        <v>0</v>
      </c>
      <c r="BC36" s="39">
        <v>0</v>
      </c>
      <c r="BD36" s="39">
        <v>0</v>
      </c>
      <c r="BE36" s="43">
        <v>0</v>
      </c>
      <c r="BF36" s="43"/>
      <c r="BG36" s="43"/>
      <c r="BH36" s="43"/>
      <c r="BI36" s="43"/>
      <c r="BJ36" s="43"/>
      <c r="BK36" s="43"/>
      <c r="BL36" s="43"/>
      <c r="BM36" s="43"/>
      <c r="BN36" s="45"/>
      <c r="BO36" s="45"/>
      <c r="BP36" s="45"/>
      <c r="BQ36" s="45"/>
      <c r="BR36" s="43"/>
      <c r="BS36" s="43"/>
      <c r="BT36" s="43"/>
      <c r="BU36" s="43"/>
      <c r="BV36" s="45"/>
      <c r="BW36" s="45"/>
      <c r="BX36" s="43"/>
      <c r="BY36" s="45"/>
      <c r="BZ36" s="43"/>
      <c r="CA36" s="45"/>
      <c r="CB36" s="45"/>
      <c r="CC36" s="45"/>
      <c r="CD36" s="45"/>
      <c r="CE36" s="45"/>
      <c r="CF36" s="39">
        <f t="shared" si="9"/>
        <v>0</v>
      </c>
      <c r="CG36" s="39">
        <f t="shared" si="10"/>
        <v>0</v>
      </c>
      <c r="CH36" s="39"/>
      <c r="CI36" s="39"/>
      <c r="CJ36" s="39"/>
      <c r="CK36" s="45"/>
      <c r="CL36" s="45"/>
      <c r="CM36" s="43"/>
      <c r="CN36" s="43"/>
      <c r="CO36" s="43"/>
      <c r="CP36" s="43"/>
      <c r="CQ36" s="39"/>
      <c r="CR36" s="43"/>
      <c r="CS36" s="43"/>
      <c r="CT36" s="43"/>
      <c r="CU36" s="43"/>
      <c r="CV36" s="43"/>
      <c r="CW36" s="43"/>
      <c r="CX36" s="43"/>
      <c r="CY36" s="43"/>
      <c r="CZ36" s="39"/>
      <c r="DA36" s="45"/>
      <c r="DB36" s="45"/>
      <c r="DC36" s="45"/>
      <c r="DD36" s="45"/>
      <c r="DE36" s="45"/>
      <c r="DF36" s="39">
        <f t="shared" si="11"/>
        <v>0</v>
      </c>
      <c r="DG36" s="39">
        <f t="shared" si="12"/>
        <v>0</v>
      </c>
      <c r="DH36" s="39"/>
      <c r="DI36" s="39"/>
      <c r="DJ36" s="39">
        <v>0</v>
      </c>
      <c r="DK36" s="39">
        <f t="shared" si="13"/>
        <v>0</v>
      </c>
      <c r="DL36" s="39"/>
      <c r="DM36" s="39"/>
      <c r="DN36" s="43"/>
      <c r="DO36" s="43"/>
      <c r="DP36" s="39">
        <f t="shared" si="14"/>
        <v>0</v>
      </c>
      <c r="DQ36" s="39">
        <f t="shared" si="15"/>
        <v>0</v>
      </c>
      <c r="DR36" s="39"/>
      <c r="DS36" s="39"/>
      <c r="DT36" s="43"/>
      <c r="DU36" s="43"/>
      <c r="DV36" s="43"/>
      <c r="DW36" s="43"/>
      <c r="DX36" s="43"/>
      <c r="DY36" s="43"/>
      <c r="DZ36" s="39"/>
      <c r="EA36" s="39"/>
      <c r="EB36" s="43"/>
      <c r="EC36" s="43"/>
      <c r="ED36" s="43"/>
      <c r="EE36" s="43"/>
      <c r="EF36" s="39">
        <v>0</v>
      </c>
      <c r="EG36" s="43"/>
      <c r="EH36" s="43">
        <v>0</v>
      </c>
      <c r="EI36" s="45"/>
      <c r="EJ36" s="39">
        <v>0</v>
      </c>
      <c r="EK36" s="43">
        <v>0</v>
      </c>
      <c r="EL36" s="43"/>
      <c r="EM36" s="43"/>
      <c r="EN36" s="43"/>
      <c r="EO36" s="43"/>
      <c r="EP36" s="43"/>
      <c r="EQ36" s="43"/>
      <c r="ER36" s="43"/>
      <c r="ES36" s="43"/>
      <c r="ET36" s="135"/>
      <c r="EU36" s="135"/>
      <c r="EV36" s="135"/>
      <c r="EW36" s="135"/>
      <c r="EX36" s="43"/>
      <c r="EY36" s="43"/>
      <c r="EZ36" s="43"/>
      <c r="FA36" s="43"/>
      <c r="FB36" s="37">
        <f t="shared" si="16"/>
        <v>0</v>
      </c>
      <c r="FC36" s="37">
        <f t="shared" si="17"/>
        <v>0</v>
      </c>
      <c r="FD36" s="39"/>
      <c r="FE36" s="39"/>
      <c r="FF36" s="43"/>
      <c r="FG36" s="43"/>
      <c r="FH36" s="132">
        <f t="shared" si="18"/>
        <v>0</v>
      </c>
      <c r="FI36" s="132">
        <f t="shared" si="19"/>
        <v>0</v>
      </c>
      <c r="FJ36" s="39"/>
      <c r="FK36" s="39"/>
      <c r="FL36" s="43"/>
      <c r="FM36" s="43"/>
      <c r="FN36" s="43"/>
      <c r="FO36" s="43"/>
      <c r="FP36" s="43"/>
      <c r="FQ36" s="43"/>
      <c r="FR36" s="39"/>
      <c r="FS36" s="135"/>
      <c r="FT36" s="43"/>
      <c r="FU36" s="43"/>
      <c r="FV36" s="43"/>
      <c r="FW36" s="43"/>
      <c r="FX36" s="43"/>
      <c r="FY36" s="43"/>
      <c r="FZ36" s="43"/>
      <c r="GA36" s="43"/>
      <c r="GB36" s="43"/>
      <c r="GC36" s="43"/>
      <c r="GD36" s="135"/>
      <c r="GE36" s="135"/>
      <c r="GF36" s="43"/>
      <c r="GG36" s="43"/>
      <c r="GH36" s="43"/>
      <c r="GI36" s="43"/>
      <c r="GJ36" s="43"/>
      <c r="GK36" s="43"/>
      <c r="GL36" s="43"/>
      <c r="GM36" s="43"/>
      <c r="GN36" s="43"/>
      <c r="GO36" s="43"/>
      <c r="GP36" s="43"/>
      <c r="GQ36" s="43"/>
      <c r="GR36" s="43"/>
      <c r="GS36" s="43"/>
      <c r="GT36" s="43"/>
      <c r="GU36" s="43"/>
      <c r="GV36" s="43"/>
      <c r="GW36" s="43"/>
      <c r="GX36" s="45"/>
      <c r="GY36" s="45"/>
      <c r="GZ36" s="43"/>
      <c r="HA36" s="43"/>
      <c r="HB36" s="43"/>
      <c r="HC36" s="43"/>
      <c r="HD36" s="39">
        <f t="shared" si="20"/>
        <v>0</v>
      </c>
      <c r="HE36" s="39">
        <f t="shared" si="21"/>
        <v>0</v>
      </c>
      <c r="HF36" s="39"/>
      <c r="HG36" s="39"/>
      <c r="HH36" s="39"/>
      <c r="HI36" s="43"/>
      <c r="HJ36" s="43"/>
      <c r="HK36" s="43"/>
      <c r="HL36" s="43"/>
      <c r="HM36" s="43"/>
      <c r="HN36" s="136"/>
      <c r="HO36" s="136"/>
      <c r="HP36" s="39">
        <f t="shared" si="22"/>
        <v>0</v>
      </c>
      <c r="HQ36" s="39">
        <f t="shared" si="23"/>
        <v>0</v>
      </c>
      <c r="HR36" s="39"/>
      <c r="HS36" s="39"/>
      <c r="HT36" s="39"/>
      <c r="HU36" s="43"/>
      <c r="HV36" s="39"/>
      <c r="HW36" s="39"/>
      <c r="HX36" s="39">
        <f t="shared" si="24"/>
        <v>0</v>
      </c>
      <c r="HY36" s="39">
        <f t="shared" si="25"/>
        <v>0</v>
      </c>
    </row>
    <row r="37" spans="1:233" ht="12.75">
      <c r="A37" s="14" t="s">
        <v>230</v>
      </c>
      <c r="B37" s="34"/>
      <c r="C37" s="34"/>
      <c r="D37" s="39">
        <f>263+263+264+219+219+220+219+219+220+175.7+175.7+175.6</f>
        <v>2632.9999999999995</v>
      </c>
      <c r="E37" s="39">
        <f>263+263+264+219+219+220+219+219+220+175.7+175.7+175.6</f>
        <v>2632.9999999999995</v>
      </c>
      <c r="F37" s="34"/>
      <c r="G37" s="34"/>
      <c r="H37" s="34"/>
      <c r="I37" s="34"/>
      <c r="J37" s="34"/>
      <c r="K37" s="34"/>
      <c r="L37" s="34"/>
      <c r="M37" s="34"/>
      <c r="N37" s="34"/>
      <c r="O37" s="34"/>
      <c r="P37" s="34"/>
      <c r="Q37" s="34"/>
      <c r="R37" s="39"/>
      <c r="S37" s="34"/>
      <c r="T37" s="39"/>
      <c r="U37" s="39"/>
      <c r="V37" s="39"/>
      <c r="W37" s="34"/>
      <c r="X37" s="34"/>
      <c r="Y37" s="34"/>
      <c r="Z37" s="34"/>
      <c r="AA37" s="34"/>
      <c r="AB37" s="34"/>
      <c r="AC37" s="34"/>
      <c r="AD37" s="39"/>
      <c r="AE37" s="39"/>
      <c r="AF37" s="39">
        <v>147</v>
      </c>
      <c r="AG37" s="39">
        <f>12.3+12.3+12.3+12.3+12.3+2.2+19.7+3+11.1+14.8+10+24.7</f>
        <v>147</v>
      </c>
      <c r="AH37" s="126">
        <f t="shared" si="5"/>
        <v>2779.9999999999995</v>
      </c>
      <c r="AI37" s="126">
        <f t="shared" si="6"/>
        <v>2779.9999999999995</v>
      </c>
      <c r="AJ37" s="43"/>
      <c r="AK37" s="43"/>
      <c r="AL37" s="134"/>
      <c r="AM37" s="41"/>
      <c r="AN37" s="41"/>
      <c r="AO37" s="41"/>
      <c r="AP37" s="41"/>
      <c r="AQ37" s="41"/>
      <c r="AR37" s="39"/>
      <c r="AS37" s="39"/>
      <c r="AT37" s="43"/>
      <c r="AU37" s="43"/>
      <c r="AV37" s="43"/>
      <c r="AW37" s="43"/>
      <c r="AX37" s="43"/>
      <c r="AY37" s="43"/>
      <c r="AZ37" s="39">
        <f t="shared" si="7"/>
        <v>0</v>
      </c>
      <c r="BA37" s="39">
        <f t="shared" si="8"/>
        <v>0</v>
      </c>
      <c r="BB37" s="39">
        <v>0</v>
      </c>
      <c r="BC37" s="39">
        <v>0</v>
      </c>
      <c r="BD37" s="39">
        <v>0</v>
      </c>
      <c r="BE37" s="43">
        <v>0</v>
      </c>
      <c r="BF37" s="43"/>
      <c r="BG37" s="43"/>
      <c r="BH37" s="43"/>
      <c r="BI37" s="43"/>
      <c r="BJ37" s="43"/>
      <c r="BK37" s="43"/>
      <c r="BL37" s="43"/>
      <c r="BM37" s="43"/>
      <c r="BN37" s="45"/>
      <c r="BO37" s="45"/>
      <c r="BP37" s="45"/>
      <c r="BQ37" s="45"/>
      <c r="BR37" s="43"/>
      <c r="BS37" s="43"/>
      <c r="BT37" s="43"/>
      <c r="BU37" s="43"/>
      <c r="BV37" s="45"/>
      <c r="BW37" s="45"/>
      <c r="BX37" s="43"/>
      <c r="BY37" s="45"/>
      <c r="BZ37" s="43"/>
      <c r="CA37" s="45"/>
      <c r="CB37" s="45"/>
      <c r="CC37" s="45"/>
      <c r="CD37" s="45"/>
      <c r="CE37" s="45"/>
      <c r="CF37" s="39">
        <f t="shared" si="9"/>
        <v>0</v>
      </c>
      <c r="CG37" s="39">
        <f t="shared" si="10"/>
        <v>0</v>
      </c>
      <c r="CH37" s="39"/>
      <c r="CI37" s="39"/>
      <c r="CJ37" s="39"/>
      <c r="CK37" s="45"/>
      <c r="CL37" s="45"/>
      <c r="CM37" s="43"/>
      <c r="CN37" s="43"/>
      <c r="CO37" s="43"/>
      <c r="CP37" s="43"/>
      <c r="CQ37" s="39"/>
      <c r="CR37" s="43"/>
      <c r="CS37" s="43"/>
      <c r="CT37" s="43"/>
      <c r="CU37" s="43"/>
      <c r="CV37" s="43"/>
      <c r="CW37" s="43"/>
      <c r="CX37" s="43"/>
      <c r="CY37" s="43"/>
      <c r="CZ37" s="39"/>
      <c r="DA37" s="45"/>
      <c r="DB37" s="45"/>
      <c r="DC37" s="45"/>
      <c r="DD37" s="45"/>
      <c r="DE37" s="45"/>
      <c r="DF37" s="39">
        <f t="shared" si="11"/>
        <v>0</v>
      </c>
      <c r="DG37" s="39">
        <f t="shared" si="12"/>
        <v>0</v>
      </c>
      <c r="DH37" s="39"/>
      <c r="DI37" s="39"/>
      <c r="DJ37" s="39">
        <v>0</v>
      </c>
      <c r="DK37" s="39">
        <f t="shared" si="13"/>
        <v>0</v>
      </c>
      <c r="DL37" s="39"/>
      <c r="DM37" s="39"/>
      <c r="DN37" s="43"/>
      <c r="DO37" s="43"/>
      <c r="DP37" s="39">
        <f t="shared" si="14"/>
        <v>0</v>
      </c>
      <c r="DQ37" s="39">
        <f t="shared" si="15"/>
        <v>0</v>
      </c>
      <c r="DR37" s="39"/>
      <c r="DS37" s="39"/>
      <c r="DT37" s="43"/>
      <c r="DU37" s="43"/>
      <c r="DV37" s="43"/>
      <c r="DW37" s="43"/>
      <c r="DX37" s="43"/>
      <c r="DY37" s="43"/>
      <c r="DZ37" s="39"/>
      <c r="EA37" s="39"/>
      <c r="EB37" s="43"/>
      <c r="EC37" s="43"/>
      <c r="ED37" s="43"/>
      <c r="EE37" s="43"/>
      <c r="EF37" s="39">
        <v>0</v>
      </c>
      <c r="EG37" s="43"/>
      <c r="EH37" s="43">
        <v>0</v>
      </c>
      <c r="EI37" s="45"/>
      <c r="EJ37" s="39">
        <v>0</v>
      </c>
      <c r="EK37" s="43">
        <v>0</v>
      </c>
      <c r="EL37" s="43"/>
      <c r="EM37" s="43"/>
      <c r="EN37" s="43"/>
      <c r="EO37" s="43"/>
      <c r="EP37" s="43"/>
      <c r="EQ37" s="43"/>
      <c r="ER37" s="43"/>
      <c r="ES37" s="43"/>
      <c r="ET37" s="135"/>
      <c r="EU37" s="135"/>
      <c r="EV37" s="135"/>
      <c r="EW37" s="135"/>
      <c r="EX37" s="43"/>
      <c r="EY37" s="43"/>
      <c r="EZ37" s="43"/>
      <c r="FA37" s="43"/>
      <c r="FB37" s="37">
        <f t="shared" si="16"/>
        <v>0</v>
      </c>
      <c r="FC37" s="37">
        <f t="shared" si="17"/>
        <v>0</v>
      </c>
      <c r="FD37" s="39"/>
      <c r="FE37" s="39"/>
      <c r="FF37" s="43"/>
      <c r="FG37" s="43"/>
      <c r="FH37" s="132">
        <f t="shared" si="18"/>
        <v>0</v>
      </c>
      <c r="FI37" s="132">
        <f t="shared" si="19"/>
        <v>0</v>
      </c>
      <c r="FJ37" s="39"/>
      <c r="FK37" s="39"/>
      <c r="FL37" s="43"/>
      <c r="FM37" s="43"/>
      <c r="FN37" s="43"/>
      <c r="FO37" s="43"/>
      <c r="FP37" s="43"/>
      <c r="FQ37" s="43"/>
      <c r="FR37" s="39"/>
      <c r="FS37" s="135"/>
      <c r="FT37" s="43"/>
      <c r="FU37" s="43"/>
      <c r="FV37" s="43"/>
      <c r="FW37" s="43"/>
      <c r="FX37" s="43"/>
      <c r="FY37" s="43"/>
      <c r="FZ37" s="43"/>
      <c r="GA37" s="43"/>
      <c r="GB37" s="43"/>
      <c r="GC37" s="43"/>
      <c r="GD37" s="135"/>
      <c r="GE37" s="135"/>
      <c r="GF37" s="43"/>
      <c r="GG37" s="43"/>
      <c r="GH37" s="43"/>
      <c r="GI37" s="43"/>
      <c r="GJ37" s="43"/>
      <c r="GK37" s="43"/>
      <c r="GL37" s="43"/>
      <c r="GM37" s="43"/>
      <c r="GN37" s="43"/>
      <c r="GO37" s="43"/>
      <c r="GP37" s="43"/>
      <c r="GQ37" s="43"/>
      <c r="GR37" s="43"/>
      <c r="GS37" s="43"/>
      <c r="GT37" s="43"/>
      <c r="GU37" s="43"/>
      <c r="GV37" s="43"/>
      <c r="GW37" s="43"/>
      <c r="GX37" s="45"/>
      <c r="GY37" s="45"/>
      <c r="GZ37" s="43"/>
      <c r="HA37" s="43"/>
      <c r="HB37" s="43"/>
      <c r="HC37" s="43"/>
      <c r="HD37" s="39">
        <f t="shared" si="20"/>
        <v>0</v>
      </c>
      <c r="HE37" s="39">
        <f t="shared" si="21"/>
        <v>0</v>
      </c>
      <c r="HF37" s="39"/>
      <c r="HG37" s="39"/>
      <c r="HH37" s="39"/>
      <c r="HI37" s="43"/>
      <c r="HJ37" s="43"/>
      <c r="HK37" s="43"/>
      <c r="HL37" s="43"/>
      <c r="HM37" s="43"/>
      <c r="HN37" s="136"/>
      <c r="HO37" s="136"/>
      <c r="HP37" s="39">
        <f t="shared" si="22"/>
        <v>0</v>
      </c>
      <c r="HQ37" s="39">
        <f t="shared" si="23"/>
        <v>0</v>
      </c>
      <c r="HR37" s="39"/>
      <c r="HS37" s="39"/>
      <c r="HT37" s="39"/>
      <c r="HU37" s="43"/>
      <c r="HV37" s="39"/>
      <c r="HW37" s="39"/>
      <c r="HX37" s="39">
        <f t="shared" si="24"/>
        <v>0</v>
      </c>
      <c r="HY37" s="39">
        <f t="shared" si="25"/>
        <v>0</v>
      </c>
    </row>
    <row r="38" spans="1:233" ht="12.75" customHeight="1">
      <c r="A38" s="13" t="s">
        <v>146</v>
      </c>
      <c r="B38" s="39">
        <f>SUM(B39:B43)</f>
        <v>37834</v>
      </c>
      <c r="C38" s="39">
        <f aca="true" t="shared" si="34" ref="C38:BN38">SUM(C39:C43)</f>
        <v>37834</v>
      </c>
      <c r="D38" s="39">
        <f t="shared" si="34"/>
        <v>15135</v>
      </c>
      <c r="E38" s="39">
        <f t="shared" si="34"/>
        <v>15135</v>
      </c>
      <c r="F38" s="39">
        <f t="shared" si="34"/>
        <v>41528.00000000001</v>
      </c>
      <c r="G38" s="39">
        <f t="shared" si="34"/>
        <v>41528.00000000001</v>
      </c>
      <c r="H38" s="39">
        <f t="shared" si="34"/>
        <v>0</v>
      </c>
      <c r="I38" s="39">
        <f t="shared" si="34"/>
        <v>0</v>
      </c>
      <c r="J38" s="39">
        <f t="shared" si="34"/>
        <v>0</v>
      </c>
      <c r="K38" s="39">
        <f t="shared" si="34"/>
        <v>0</v>
      </c>
      <c r="L38" s="39">
        <f t="shared" si="34"/>
        <v>0</v>
      </c>
      <c r="M38" s="39">
        <f t="shared" si="34"/>
        <v>0</v>
      </c>
      <c r="N38" s="39">
        <f t="shared" si="34"/>
        <v>0</v>
      </c>
      <c r="O38" s="39">
        <f t="shared" si="34"/>
        <v>0</v>
      </c>
      <c r="P38" s="39">
        <f t="shared" si="34"/>
        <v>15000</v>
      </c>
      <c r="Q38" s="39">
        <f t="shared" si="34"/>
        <v>15000</v>
      </c>
      <c r="R38" s="39">
        <f t="shared" si="34"/>
        <v>20</v>
      </c>
      <c r="S38" s="39">
        <f t="shared" si="34"/>
        <v>19.95855</v>
      </c>
      <c r="T38" s="39">
        <f t="shared" si="34"/>
        <v>13401.52281</v>
      </c>
      <c r="U38" s="39">
        <f t="shared" si="34"/>
        <v>13401.52281</v>
      </c>
      <c r="V38" s="39">
        <f t="shared" si="34"/>
        <v>2506</v>
      </c>
      <c r="W38" s="39">
        <f t="shared" si="34"/>
        <v>2506</v>
      </c>
      <c r="X38" s="39">
        <f t="shared" si="34"/>
        <v>0</v>
      </c>
      <c r="Y38" s="39">
        <f t="shared" si="34"/>
        <v>0</v>
      </c>
      <c r="Z38" s="39">
        <f t="shared" si="34"/>
        <v>0</v>
      </c>
      <c r="AA38" s="39">
        <f t="shared" si="34"/>
        <v>0</v>
      </c>
      <c r="AB38" s="39">
        <f t="shared" si="34"/>
        <v>0</v>
      </c>
      <c r="AC38" s="39">
        <f t="shared" si="34"/>
        <v>0</v>
      </c>
      <c r="AD38" s="39">
        <f t="shared" si="34"/>
        <v>0</v>
      </c>
      <c r="AE38" s="39">
        <f t="shared" si="34"/>
        <v>0</v>
      </c>
      <c r="AF38" s="39">
        <f t="shared" si="34"/>
        <v>441</v>
      </c>
      <c r="AG38" s="39">
        <f t="shared" si="34"/>
        <v>441</v>
      </c>
      <c r="AH38" s="39">
        <f t="shared" si="34"/>
        <v>125865.52281</v>
      </c>
      <c r="AI38" s="39">
        <f t="shared" si="34"/>
        <v>125865.48135999999</v>
      </c>
      <c r="AJ38" s="39">
        <f t="shared" si="34"/>
        <v>340.7</v>
      </c>
      <c r="AK38" s="39">
        <f t="shared" si="34"/>
        <v>340.7</v>
      </c>
      <c r="AL38" s="39">
        <f t="shared" si="34"/>
        <v>0</v>
      </c>
      <c r="AM38" s="39">
        <f t="shared" si="34"/>
        <v>0</v>
      </c>
      <c r="AN38" s="39">
        <f t="shared" si="34"/>
        <v>0</v>
      </c>
      <c r="AO38" s="39">
        <f t="shared" si="34"/>
        <v>0</v>
      </c>
      <c r="AP38" s="39">
        <f t="shared" si="34"/>
        <v>200</v>
      </c>
      <c r="AQ38" s="39">
        <f t="shared" si="34"/>
        <v>200</v>
      </c>
      <c r="AR38" s="39">
        <f t="shared" si="34"/>
        <v>0</v>
      </c>
      <c r="AS38" s="39">
        <f t="shared" si="34"/>
        <v>0</v>
      </c>
      <c r="AT38" s="39">
        <f t="shared" si="34"/>
        <v>160</v>
      </c>
      <c r="AU38" s="39">
        <f t="shared" si="34"/>
        <v>160</v>
      </c>
      <c r="AV38" s="39">
        <f t="shared" si="34"/>
        <v>0</v>
      </c>
      <c r="AW38" s="39">
        <f t="shared" si="34"/>
        <v>0</v>
      </c>
      <c r="AX38" s="39">
        <f t="shared" si="34"/>
        <v>0</v>
      </c>
      <c r="AY38" s="39">
        <f t="shared" si="34"/>
        <v>0</v>
      </c>
      <c r="AZ38" s="39">
        <f t="shared" si="34"/>
        <v>700.7</v>
      </c>
      <c r="BA38" s="39">
        <f t="shared" si="34"/>
        <v>700.7</v>
      </c>
      <c r="BB38" s="39">
        <f t="shared" si="34"/>
        <v>1736</v>
      </c>
      <c r="BC38" s="39">
        <f t="shared" si="34"/>
        <v>1736</v>
      </c>
      <c r="BD38" s="39">
        <f t="shared" si="34"/>
        <v>72.96</v>
      </c>
      <c r="BE38" s="39">
        <f t="shared" si="34"/>
        <v>0</v>
      </c>
      <c r="BF38" s="39">
        <f t="shared" si="34"/>
        <v>0</v>
      </c>
      <c r="BG38" s="39">
        <f t="shared" si="34"/>
        <v>0</v>
      </c>
      <c r="BH38" s="39">
        <f t="shared" si="34"/>
        <v>0</v>
      </c>
      <c r="BI38" s="39">
        <f t="shared" si="34"/>
        <v>0</v>
      </c>
      <c r="BJ38" s="39">
        <f t="shared" si="34"/>
        <v>0</v>
      </c>
      <c r="BK38" s="39">
        <f t="shared" si="34"/>
        <v>0</v>
      </c>
      <c r="BL38" s="39">
        <f t="shared" si="34"/>
        <v>5121</v>
      </c>
      <c r="BM38" s="39">
        <f t="shared" si="34"/>
        <v>4174</v>
      </c>
      <c r="BN38" s="39">
        <f t="shared" si="34"/>
        <v>425.52</v>
      </c>
      <c r="BO38" s="39">
        <f aca="true" t="shared" si="35" ref="BO38:DZ38">SUM(BO39:BO43)</f>
        <v>425.52</v>
      </c>
      <c r="BP38" s="39">
        <f t="shared" si="35"/>
        <v>0</v>
      </c>
      <c r="BQ38" s="39">
        <f t="shared" si="35"/>
        <v>0</v>
      </c>
      <c r="BR38" s="39">
        <f t="shared" si="35"/>
        <v>0</v>
      </c>
      <c r="BS38" s="39">
        <f t="shared" si="35"/>
        <v>0</v>
      </c>
      <c r="BT38" s="39">
        <f t="shared" si="35"/>
        <v>533.7</v>
      </c>
      <c r="BU38" s="39">
        <f t="shared" si="35"/>
        <v>533.7</v>
      </c>
      <c r="BV38" s="39">
        <f t="shared" si="35"/>
        <v>562.4</v>
      </c>
      <c r="BW38" s="39">
        <f t="shared" si="35"/>
        <v>562.4</v>
      </c>
      <c r="BX38" s="39">
        <f t="shared" si="35"/>
        <v>929.91</v>
      </c>
      <c r="BY38" s="39">
        <f t="shared" si="35"/>
        <v>828.492</v>
      </c>
      <c r="BZ38" s="39">
        <f t="shared" si="35"/>
        <v>0</v>
      </c>
      <c r="CA38" s="39">
        <f t="shared" si="35"/>
        <v>0</v>
      </c>
      <c r="CB38" s="39">
        <f t="shared" si="35"/>
        <v>1150.74</v>
      </c>
      <c r="CC38" s="39">
        <f t="shared" si="35"/>
        <v>1150.74</v>
      </c>
      <c r="CD38" s="39">
        <f t="shared" si="35"/>
        <v>0</v>
      </c>
      <c r="CE38" s="39">
        <f t="shared" si="35"/>
        <v>0</v>
      </c>
      <c r="CF38" s="39">
        <f t="shared" si="35"/>
        <v>8796.23</v>
      </c>
      <c r="CG38" s="39">
        <f t="shared" si="35"/>
        <v>7674.852</v>
      </c>
      <c r="CH38" s="39">
        <f t="shared" si="35"/>
        <v>27370.256459999997</v>
      </c>
      <c r="CI38" s="39">
        <f t="shared" si="35"/>
        <v>27370.256459999997</v>
      </c>
      <c r="CJ38" s="39">
        <f t="shared" si="35"/>
        <v>8740.09872</v>
      </c>
      <c r="CK38" s="39">
        <f t="shared" si="35"/>
        <v>8740.09872</v>
      </c>
      <c r="CL38" s="39">
        <f t="shared" si="35"/>
        <v>0</v>
      </c>
      <c r="CM38" s="39">
        <f t="shared" si="35"/>
        <v>0</v>
      </c>
      <c r="CN38" s="39">
        <f t="shared" si="35"/>
        <v>0</v>
      </c>
      <c r="CO38" s="39">
        <f t="shared" si="35"/>
        <v>0</v>
      </c>
      <c r="CP38" s="39">
        <f t="shared" si="35"/>
        <v>0</v>
      </c>
      <c r="CQ38" s="39">
        <f t="shared" si="35"/>
        <v>0</v>
      </c>
      <c r="CR38" s="39">
        <f t="shared" si="35"/>
        <v>0</v>
      </c>
      <c r="CS38" s="39">
        <f t="shared" si="35"/>
        <v>0</v>
      </c>
      <c r="CT38" s="39">
        <f t="shared" si="35"/>
        <v>0</v>
      </c>
      <c r="CU38" s="39">
        <f t="shared" si="35"/>
        <v>0</v>
      </c>
      <c r="CV38" s="39">
        <f t="shared" si="35"/>
        <v>0</v>
      </c>
      <c r="CW38" s="39">
        <f t="shared" si="35"/>
        <v>0</v>
      </c>
      <c r="CX38" s="39">
        <f t="shared" si="35"/>
        <v>0</v>
      </c>
      <c r="CY38" s="39">
        <f t="shared" si="35"/>
        <v>0</v>
      </c>
      <c r="CZ38" s="39">
        <f t="shared" si="35"/>
        <v>114.082</v>
      </c>
      <c r="DA38" s="39">
        <f t="shared" si="35"/>
        <v>114.082</v>
      </c>
      <c r="DB38" s="39">
        <f t="shared" si="35"/>
        <v>0</v>
      </c>
      <c r="DC38" s="39">
        <f t="shared" si="35"/>
        <v>0</v>
      </c>
      <c r="DD38" s="39">
        <f t="shared" si="35"/>
        <v>0</v>
      </c>
      <c r="DE38" s="39">
        <f t="shared" si="35"/>
        <v>0</v>
      </c>
      <c r="DF38" s="39">
        <f t="shared" si="35"/>
        <v>36224.43717999999</v>
      </c>
      <c r="DG38" s="39">
        <f t="shared" si="35"/>
        <v>36224.43717999999</v>
      </c>
      <c r="DH38" s="39">
        <f t="shared" si="35"/>
        <v>0</v>
      </c>
      <c r="DI38" s="39">
        <f t="shared" si="35"/>
        <v>0</v>
      </c>
      <c r="DJ38" s="39">
        <f t="shared" si="35"/>
        <v>0</v>
      </c>
      <c r="DK38" s="39">
        <f t="shared" si="35"/>
        <v>0</v>
      </c>
      <c r="DL38" s="39">
        <f t="shared" si="35"/>
        <v>0</v>
      </c>
      <c r="DM38" s="39">
        <f t="shared" si="35"/>
        <v>0</v>
      </c>
      <c r="DN38" s="39">
        <f t="shared" si="35"/>
        <v>0</v>
      </c>
      <c r="DO38" s="39">
        <f t="shared" si="35"/>
        <v>0</v>
      </c>
      <c r="DP38" s="39">
        <f t="shared" si="35"/>
        <v>0</v>
      </c>
      <c r="DQ38" s="39">
        <f t="shared" si="35"/>
        <v>0</v>
      </c>
      <c r="DR38" s="39">
        <f t="shared" si="35"/>
        <v>0</v>
      </c>
      <c r="DS38" s="39">
        <f t="shared" si="35"/>
        <v>0</v>
      </c>
      <c r="DT38" s="39">
        <f t="shared" si="35"/>
        <v>0</v>
      </c>
      <c r="DU38" s="39">
        <f t="shared" si="35"/>
        <v>0</v>
      </c>
      <c r="DV38" s="39">
        <f t="shared" si="35"/>
        <v>0</v>
      </c>
      <c r="DW38" s="39">
        <f t="shared" si="35"/>
        <v>0</v>
      </c>
      <c r="DX38" s="39">
        <f t="shared" si="35"/>
        <v>0</v>
      </c>
      <c r="DY38" s="39">
        <f t="shared" si="35"/>
        <v>0</v>
      </c>
      <c r="DZ38" s="39">
        <f t="shared" si="35"/>
        <v>0</v>
      </c>
      <c r="EA38" s="39">
        <f aca="true" t="shared" si="36" ref="EA38:GL38">SUM(EA39:EA43)</f>
        <v>0</v>
      </c>
      <c r="EB38" s="39">
        <f t="shared" si="36"/>
        <v>0</v>
      </c>
      <c r="EC38" s="39">
        <f t="shared" si="36"/>
        <v>0</v>
      </c>
      <c r="ED38" s="39">
        <f t="shared" si="36"/>
        <v>170</v>
      </c>
      <c r="EE38" s="39">
        <f t="shared" si="36"/>
        <v>170</v>
      </c>
      <c r="EF38" s="39">
        <f t="shared" si="36"/>
        <v>1694.27</v>
      </c>
      <c r="EG38" s="39">
        <f t="shared" si="36"/>
        <v>1694.27</v>
      </c>
      <c r="EH38" s="39">
        <f t="shared" si="36"/>
        <v>10454</v>
      </c>
      <c r="EI38" s="39">
        <f t="shared" si="36"/>
        <v>10454</v>
      </c>
      <c r="EJ38" s="39">
        <f t="shared" si="36"/>
        <v>512.2</v>
      </c>
      <c r="EK38" s="39">
        <f t="shared" si="36"/>
        <v>255.8</v>
      </c>
      <c r="EL38" s="39">
        <f t="shared" si="36"/>
        <v>0</v>
      </c>
      <c r="EM38" s="39">
        <f t="shared" si="36"/>
        <v>0</v>
      </c>
      <c r="EN38" s="39">
        <f t="shared" si="36"/>
        <v>242</v>
      </c>
      <c r="EO38" s="39">
        <f t="shared" si="36"/>
        <v>242</v>
      </c>
      <c r="EP38" s="39">
        <f t="shared" si="36"/>
        <v>0</v>
      </c>
      <c r="EQ38" s="39">
        <f t="shared" si="36"/>
        <v>0</v>
      </c>
      <c r="ER38" s="39">
        <f t="shared" si="36"/>
        <v>22600</v>
      </c>
      <c r="ES38" s="39">
        <f t="shared" si="36"/>
        <v>22600</v>
      </c>
      <c r="ET38" s="39">
        <f t="shared" si="36"/>
        <v>5150</v>
      </c>
      <c r="EU38" s="39">
        <f t="shared" si="36"/>
        <v>5150</v>
      </c>
      <c r="EV38" s="39">
        <f t="shared" si="36"/>
        <v>0</v>
      </c>
      <c r="EW38" s="39">
        <f t="shared" si="36"/>
        <v>0</v>
      </c>
      <c r="EX38" s="39">
        <f t="shared" si="36"/>
        <v>0</v>
      </c>
      <c r="EY38" s="39">
        <f t="shared" si="36"/>
        <v>0</v>
      </c>
      <c r="EZ38" s="39">
        <f t="shared" si="36"/>
        <v>100</v>
      </c>
      <c r="FA38" s="39">
        <f t="shared" si="36"/>
        <v>100</v>
      </c>
      <c r="FB38" s="39">
        <f t="shared" si="36"/>
        <v>40922.47</v>
      </c>
      <c r="FC38" s="39">
        <f t="shared" si="36"/>
        <v>40666.07</v>
      </c>
      <c r="FD38" s="39">
        <f t="shared" si="36"/>
        <v>1000</v>
      </c>
      <c r="FE38" s="39">
        <f t="shared" si="36"/>
        <v>1000</v>
      </c>
      <c r="FF38" s="39">
        <f t="shared" si="36"/>
        <v>207.85</v>
      </c>
      <c r="FG38" s="39">
        <f t="shared" si="36"/>
        <v>207.85</v>
      </c>
      <c r="FH38" s="39">
        <f t="shared" si="36"/>
        <v>1207.85</v>
      </c>
      <c r="FI38" s="39">
        <f t="shared" si="36"/>
        <v>1207.85</v>
      </c>
      <c r="FJ38" s="39">
        <f t="shared" si="36"/>
        <v>0</v>
      </c>
      <c r="FK38" s="39">
        <f t="shared" si="36"/>
        <v>0</v>
      </c>
      <c r="FL38" s="39">
        <f t="shared" si="36"/>
        <v>0</v>
      </c>
      <c r="FM38" s="39">
        <f t="shared" si="36"/>
        <v>0</v>
      </c>
      <c r="FN38" s="39">
        <f t="shared" si="36"/>
        <v>1241</v>
      </c>
      <c r="FO38" s="39">
        <f t="shared" si="36"/>
        <v>1241</v>
      </c>
      <c r="FP38" s="39">
        <f t="shared" si="36"/>
        <v>0</v>
      </c>
      <c r="FQ38" s="39">
        <f t="shared" si="36"/>
        <v>0</v>
      </c>
      <c r="FR38" s="39">
        <f t="shared" si="36"/>
        <v>0</v>
      </c>
      <c r="FS38" s="39">
        <f t="shared" si="36"/>
        <v>0</v>
      </c>
      <c r="FT38" s="39">
        <f t="shared" si="36"/>
        <v>1203</v>
      </c>
      <c r="FU38" s="39">
        <f t="shared" si="36"/>
        <v>1203</v>
      </c>
      <c r="FV38" s="39">
        <f t="shared" si="36"/>
        <v>294</v>
      </c>
      <c r="FW38" s="39">
        <f t="shared" si="36"/>
        <v>294</v>
      </c>
      <c r="FX38" s="39">
        <f t="shared" si="36"/>
        <v>2420</v>
      </c>
      <c r="FY38" s="39">
        <f t="shared" si="36"/>
        <v>2420</v>
      </c>
      <c r="FZ38" s="39">
        <f t="shared" si="36"/>
        <v>2196</v>
      </c>
      <c r="GA38" s="39">
        <f t="shared" si="36"/>
        <v>2196</v>
      </c>
      <c r="GB38" s="39">
        <f t="shared" si="36"/>
        <v>4887.3</v>
      </c>
      <c r="GC38" s="39">
        <f t="shared" si="36"/>
        <v>4887.3</v>
      </c>
      <c r="GD38" s="39">
        <f t="shared" si="36"/>
        <v>0</v>
      </c>
      <c r="GE38" s="39">
        <f t="shared" si="36"/>
        <v>0</v>
      </c>
      <c r="GF38" s="39">
        <f t="shared" si="36"/>
        <v>0</v>
      </c>
      <c r="GG38" s="39">
        <f t="shared" si="36"/>
        <v>0</v>
      </c>
      <c r="GH38" s="39">
        <f t="shared" si="36"/>
        <v>0</v>
      </c>
      <c r="GI38" s="39">
        <f t="shared" si="36"/>
        <v>0</v>
      </c>
      <c r="GJ38" s="39">
        <f t="shared" si="36"/>
        <v>31427.4</v>
      </c>
      <c r="GK38" s="39">
        <f t="shared" si="36"/>
        <v>31427.4</v>
      </c>
      <c r="GL38" s="39">
        <f t="shared" si="36"/>
        <v>70731.8</v>
      </c>
      <c r="GM38" s="39">
        <f aca="true" t="shared" si="37" ref="GM38:HY38">SUM(GM39:GM43)</f>
        <v>70731.8</v>
      </c>
      <c r="GN38" s="39">
        <f t="shared" si="37"/>
        <v>0</v>
      </c>
      <c r="GO38" s="39">
        <f t="shared" si="37"/>
        <v>0</v>
      </c>
      <c r="GP38" s="39">
        <f t="shared" si="37"/>
        <v>4594</v>
      </c>
      <c r="GQ38" s="39">
        <f t="shared" si="37"/>
        <v>4594</v>
      </c>
      <c r="GR38" s="39">
        <f t="shared" si="37"/>
        <v>772</v>
      </c>
      <c r="GS38" s="39">
        <f t="shared" si="37"/>
        <v>772</v>
      </c>
      <c r="GT38" s="39">
        <f t="shared" si="37"/>
        <v>212</v>
      </c>
      <c r="GU38" s="39">
        <f t="shared" si="37"/>
        <v>212</v>
      </c>
      <c r="GV38" s="39">
        <f t="shared" si="37"/>
        <v>12164</v>
      </c>
      <c r="GW38" s="39">
        <f t="shared" si="37"/>
        <v>12164</v>
      </c>
      <c r="GX38" s="39">
        <f t="shared" si="37"/>
        <v>2176.9</v>
      </c>
      <c r="GY38" s="39">
        <f t="shared" si="37"/>
        <v>2176.9</v>
      </c>
      <c r="GZ38" s="39">
        <f t="shared" si="37"/>
        <v>0</v>
      </c>
      <c r="HA38" s="39">
        <f t="shared" si="37"/>
        <v>0</v>
      </c>
      <c r="HB38" s="39">
        <f t="shared" si="37"/>
        <v>93.3</v>
      </c>
      <c r="HC38" s="39">
        <f t="shared" si="37"/>
        <v>93.3</v>
      </c>
      <c r="HD38" s="39">
        <f t="shared" si="37"/>
        <v>134412.69999999998</v>
      </c>
      <c r="HE38" s="39">
        <f t="shared" si="37"/>
        <v>134412.69999999998</v>
      </c>
      <c r="HF38" s="39">
        <f t="shared" si="37"/>
        <v>0</v>
      </c>
      <c r="HG38" s="39">
        <f t="shared" si="37"/>
        <v>0</v>
      </c>
      <c r="HH38" s="39">
        <f t="shared" si="37"/>
        <v>0</v>
      </c>
      <c r="HI38" s="39">
        <f t="shared" si="37"/>
        <v>0</v>
      </c>
      <c r="HJ38" s="39">
        <f t="shared" si="37"/>
        <v>0</v>
      </c>
      <c r="HK38" s="39">
        <f t="shared" si="37"/>
        <v>0</v>
      </c>
      <c r="HL38" s="39">
        <f t="shared" si="37"/>
        <v>0</v>
      </c>
      <c r="HM38" s="39">
        <f t="shared" si="37"/>
        <v>0</v>
      </c>
      <c r="HN38" s="39">
        <f t="shared" si="37"/>
        <v>0</v>
      </c>
      <c r="HO38" s="39">
        <f t="shared" si="37"/>
        <v>0</v>
      </c>
      <c r="HP38" s="39">
        <f t="shared" si="37"/>
        <v>0</v>
      </c>
      <c r="HQ38" s="39">
        <f t="shared" si="37"/>
        <v>0</v>
      </c>
      <c r="HR38" s="39">
        <f t="shared" si="37"/>
        <v>0</v>
      </c>
      <c r="HS38" s="39">
        <f t="shared" si="37"/>
        <v>0</v>
      </c>
      <c r="HT38" s="39">
        <f t="shared" si="37"/>
        <v>283</v>
      </c>
      <c r="HU38" s="39">
        <f t="shared" si="37"/>
        <v>271.4</v>
      </c>
      <c r="HV38" s="39">
        <f t="shared" si="37"/>
        <v>6.213</v>
      </c>
      <c r="HW38" s="39">
        <f t="shared" si="37"/>
        <v>6.213</v>
      </c>
      <c r="HX38" s="39">
        <f t="shared" si="37"/>
        <v>289.213</v>
      </c>
      <c r="HY38" s="39">
        <f t="shared" si="37"/>
        <v>277.613</v>
      </c>
    </row>
    <row r="39" spans="1:233" ht="12.75">
      <c r="A39" s="12" t="s">
        <v>156</v>
      </c>
      <c r="B39" s="39">
        <f>3783+2522+3153+1892+3153+3153+4800+3153+2353+2353+2353+1722+1722+1722</f>
        <v>37834</v>
      </c>
      <c r="C39" s="39">
        <f>3783+2522+3153+1892+3153+3153+4800+3153+2353+2353+2353+1722+1722+1722</f>
        <v>37834</v>
      </c>
      <c r="D39" s="39"/>
      <c r="E39" s="39"/>
      <c r="F39" s="39">
        <f>4153+2769+3460+2076+3461+554+554+21181+554+553+553+553.3+553.4+553.3</f>
        <v>41528.00000000001</v>
      </c>
      <c r="G39" s="39">
        <f>4153+2769+3460+2076+3461+554+554+21181+554+553+553+553.3+553.4+553.3</f>
        <v>41528.00000000001</v>
      </c>
      <c r="H39" s="34"/>
      <c r="I39" s="34"/>
      <c r="J39" s="34"/>
      <c r="K39" s="34"/>
      <c r="L39" s="34"/>
      <c r="M39" s="34"/>
      <c r="N39" s="34"/>
      <c r="O39" s="34"/>
      <c r="P39" s="39">
        <v>15000</v>
      </c>
      <c r="Q39" s="39">
        <v>15000</v>
      </c>
      <c r="R39" s="39"/>
      <c r="S39" s="39"/>
      <c r="T39" s="39">
        <v>13390</v>
      </c>
      <c r="U39" s="39">
        <f>13390</f>
        <v>13390</v>
      </c>
      <c r="V39" s="39"/>
      <c r="W39" s="39"/>
      <c r="X39" s="34"/>
      <c r="Y39" s="34"/>
      <c r="Z39" s="34"/>
      <c r="AA39" s="34"/>
      <c r="AB39" s="34"/>
      <c r="AC39" s="34"/>
      <c r="AD39" s="34"/>
      <c r="AE39" s="34"/>
      <c r="AF39" s="39"/>
      <c r="AG39" s="48"/>
      <c r="AH39" s="126">
        <f t="shared" si="5"/>
        <v>107752</v>
      </c>
      <c r="AI39" s="126">
        <f t="shared" si="6"/>
        <v>107752</v>
      </c>
      <c r="AJ39" s="43">
        <v>340.7</v>
      </c>
      <c r="AK39" s="43">
        <v>340.7</v>
      </c>
      <c r="AL39" s="134"/>
      <c r="AM39" s="41"/>
      <c r="AN39" s="41"/>
      <c r="AO39" s="41"/>
      <c r="AP39" s="41">
        <v>200</v>
      </c>
      <c r="AQ39" s="41">
        <v>200</v>
      </c>
      <c r="AR39" s="39"/>
      <c r="AS39" s="39"/>
      <c r="AT39" s="43">
        <v>160</v>
      </c>
      <c r="AU39" s="43">
        <v>160</v>
      </c>
      <c r="AV39" s="43"/>
      <c r="AW39" s="43"/>
      <c r="AX39" s="43"/>
      <c r="AY39" s="43"/>
      <c r="AZ39" s="39">
        <f t="shared" si="7"/>
        <v>700.7</v>
      </c>
      <c r="BA39" s="39">
        <f t="shared" si="8"/>
        <v>700.7</v>
      </c>
      <c r="BB39" s="39">
        <v>1736</v>
      </c>
      <c r="BC39" s="39">
        <v>1736</v>
      </c>
      <c r="BD39" s="39">
        <v>72.96</v>
      </c>
      <c r="BE39" s="43"/>
      <c r="BF39" s="43"/>
      <c r="BG39" s="43"/>
      <c r="BH39" s="43"/>
      <c r="BI39" s="43"/>
      <c r="BJ39" s="43"/>
      <c r="BK39" s="43"/>
      <c r="BL39" s="43">
        <v>5121</v>
      </c>
      <c r="BM39" s="43">
        <v>4174</v>
      </c>
      <c r="BN39" s="43">
        <v>425.52</v>
      </c>
      <c r="BO39" s="43">
        <v>425.52</v>
      </c>
      <c r="BP39" s="43"/>
      <c r="BQ39" s="43"/>
      <c r="BR39" s="43"/>
      <c r="BS39" s="43"/>
      <c r="BT39" s="43">
        <v>533.7</v>
      </c>
      <c r="BU39" s="43">
        <v>533.7</v>
      </c>
      <c r="BV39" s="43">
        <v>562.4</v>
      </c>
      <c r="BW39" s="43">
        <v>562.4</v>
      </c>
      <c r="BX39" s="43">
        <v>929.91</v>
      </c>
      <c r="BY39" s="43">
        <v>828.492</v>
      </c>
      <c r="BZ39" s="43"/>
      <c r="CA39" s="43"/>
      <c r="CB39" s="39">
        <v>1150.74</v>
      </c>
      <c r="CC39" s="39">
        <v>1150.74</v>
      </c>
      <c r="CD39" s="43"/>
      <c r="CE39" s="43"/>
      <c r="CF39" s="39">
        <f t="shared" si="9"/>
        <v>8796.23</v>
      </c>
      <c r="CG39" s="39">
        <f t="shared" si="10"/>
        <v>7674.852</v>
      </c>
      <c r="CH39" s="39"/>
      <c r="CI39" s="39"/>
      <c r="CJ39" s="39"/>
      <c r="CK39" s="45"/>
      <c r="CL39" s="45"/>
      <c r="CM39" s="43"/>
      <c r="CN39" s="43"/>
      <c r="CO39" s="43"/>
      <c r="CP39" s="43"/>
      <c r="CQ39" s="39"/>
      <c r="CR39" s="43"/>
      <c r="CS39" s="43"/>
      <c r="CT39" s="43"/>
      <c r="CU39" s="43"/>
      <c r="CV39" s="43"/>
      <c r="CW39" s="43"/>
      <c r="CX39" s="43"/>
      <c r="CY39" s="43"/>
      <c r="CZ39" s="39">
        <v>114.082</v>
      </c>
      <c r="DA39" s="39">
        <v>114.082</v>
      </c>
      <c r="DB39" s="39"/>
      <c r="DC39" s="39"/>
      <c r="DD39" s="45"/>
      <c r="DE39" s="45"/>
      <c r="DF39" s="39">
        <f t="shared" si="11"/>
        <v>114.082</v>
      </c>
      <c r="DG39" s="39">
        <f t="shared" si="12"/>
        <v>114.082</v>
      </c>
      <c r="DH39" s="39"/>
      <c r="DI39" s="39"/>
      <c r="DJ39" s="39">
        <v>0</v>
      </c>
      <c r="DK39" s="39">
        <f t="shared" si="13"/>
        <v>0</v>
      </c>
      <c r="DL39" s="39"/>
      <c r="DM39" s="39"/>
      <c r="DN39" s="43"/>
      <c r="DO39" s="43"/>
      <c r="DP39" s="39">
        <f t="shared" si="14"/>
        <v>0</v>
      </c>
      <c r="DQ39" s="39">
        <f t="shared" si="15"/>
        <v>0</v>
      </c>
      <c r="DR39" s="39"/>
      <c r="DS39" s="39"/>
      <c r="DT39" s="43"/>
      <c r="DU39" s="43"/>
      <c r="DV39" s="43"/>
      <c r="DW39" s="43"/>
      <c r="DX39" s="43"/>
      <c r="DY39" s="43"/>
      <c r="DZ39" s="39"/>
      <c r="EA39" s="39"/>
      <c r="EB39" s="43"/>
      <c r="EC39" s="43"/>
      <c r="ED39" s="43">
        <v>170</v>
      </c>
      <c r="EE39" s="43">
        <v>170</v>
      </c>
      <c r="EF39" s="39">
        <v>1694.27</v>
      </c>
      <c r="EG39" s="43">
        <v>1694.27</v>
      </c>
      <c r="EH39" s="43">
        <v>10454</v>
      </c>
      <c r="EI39" s="39">
        <v>10454</v>
      </c>
      <c r="EJ39" s="39">
        <v>512.2</v>
      </c>
      <c r="EK39" s="43">
        <v>255.8</v>
      </c>
      <c r="EL39" s="43"/>
      <c r="EM39" s="43"/>
      <c r="EN39" s="43">
        <v>242</v>
      </c>
      <c r="EO39" s="43">
        <v>242</v>
      </c>
      <c r="EP39" s="43"/>
      <c r="EQ39" s="43"/>
      <c r="ER39" s="43">
        <v>22600</v>
      </c>
      <c r="ES39" s="43">
        <v>22600</v>
      </c>
      <c r="ET39" s="135">
        <v>5150</v>
      </c>
      <c r="EU39" s="135">
        <v>5150</v>
      </c>
      <c r="EV39" s="135"/>
      <c r="EW39" s="135"/>
      <c r="EX39" s="43"/>
      <c r="EY39" s="43"/>
      <c r="EZ39" s="43">
        <v>100</v>
      </c>
      <c r="FA39" s="43">
        <v>100</v>
      </c>
      <c r="FB39" s="37">
        <f t="shared" si="16"/>
        <v>40922.47</v>
      </c>
      <c r="FC39" s="37">
        <f t="shared" si="17"/>
        <v>40666.07</v>
      </c>
      <c r="FD39" s="39">
        <v>1000</v>
      </c>
      <c r="FE39" s="39">
        <v>1000</v>
      </c>
      <c r="FF39" s="43">
        <v>207.85</v>
      </c>
      <c r="FG39" s="43">
        <v>207.85</v>
      </c>
      <c r="FH39" s="132">
        <f t="shared" si="18"/>
        <v>1207.85</v>
      </c>
      <c r="FI39" s="132">
        <f t="shared" si="19"/>
        <v>1207.85</v>
      </c>
      <c r="FJ39" s="39"/>
      <c r="FK39" s="39"/>
      <c r="FL39" s="43"/>
      <c r="FM39" s="43"/>
      <c r="FN39" s="43">
        <v>1241</v>
      </c>
      <c r="FO39" s="43">
        <v>1241</v>
      </c>
      <c r="FP39" s="43"/>
      <c r="FQ39" s="43"/>
      <c r="FR39" s="39"/>
      <c r="FS39" s="135"/>
      <c r="FT39" s="43">
        <v>1203</v>
      </c>
      <c r="FU39" s="43">
        <v>1203</v>
      </c>
      <c r="FV39" s="43">
        <v>294</v>
      </c>
      <c r="FW39" s="43">
        <v>294</v>
      </c>
      <c r="FX39" s="43">
        <v>2420</v>
      </c>
      <c r="FY39" s="43">
        <v>2420</v>
      </c>
      <c r="FZ39" s="43">
        <v>2196</v>
      </c>
      <c r="GA39" s="43">
        <v>2196</v>
      </c>
      <c r="GB39" s="43">
        <v>4887.3</v>
      </c>
      <c r="GC39" s="43">
        <v>4887.3</v>
      </c>
      <c r="GD39" s="135">
        <v>0</v>
      </c>
      <c r="GE39" s="135">
        <v>0</v>
      </c>
      <c r="GF39" s="43"/>
      <c r="GG39" s="43"/>
      <c r="GH39" s="43"/>
      <c r="GI39" s="43"/>
      <c r="GJ39" s="43">
        <v>31427.4</v>
      </c>
      <c r="GK39" s="43">
        <v>31427.4</v>
      </c>
      <c r="GL39" s="43">
        <v>70731.8</v>
      </c>
      <c r="GM39" s="43">
        <v>70731.8</v>
      </c>
      <c r="GN39" s="43"/>
      <c r="GO39" s="43"/>
      <c r="GP39" s="43">
        <v>4594</v>
      </c>
      <c r="GQ39" s="43">
        <v>4594</v>
      </c>
      <c r="GR39" s="43">
        <v>772</v>
      </c>
      <c r="GS39" s="43">
        <v>772</v>
      </c>
      <c r="GT39" s="43">
        <v>212</v>
      </c>
      <c r="GU39" s="43">
        <v>212</v>
      </c>
      <c r="GV39" s="43">
        <v>12164</v>
      </c>
      <c r="GW39" s="43">
        <v>12164</v>
      </c>
      <c r="GX39" s="43">
        <v>2176.9</v>
      </c>
      <c r="GY39" s="43">
        <v>2176.9</v>
      </c>
      <c r="GZ39" s="43"/>
      <c r="HA39" s="43"/>
      <c r="HB39" s="43">
        <v>93.3</v>
      </c>
      <c r="HC39" s="43">
        <v>93.3</v>
      </c>
      <c r="HD39" s="39">
        <f t="shared" si="20"/>
        <v>134412.69999999998</v>
      </c>
      <c r="HE39" s="39">
        <f t="shared" si="21"/>
        <v>134412.69999999998</v>
      </c>
      <c r="HF39" s="39"/>
      <c r="HG39" s="39"/>
      <c r="HH39" s="39"/>
      <c r="HI39" s="43"/>
      <c r="HJ39" s="43"/>
      <c r="HK39" s="43"/>
      <c r="HL39" s="43"/>
      <c r="HM39" s="43"/>
      <c r="HN39" s="126"/>
      <c r="HO39" s="126"/>
      <c r="HP39" s="39">
        <f t="shared" si="22"/>
        <v>0</v>
      </c>
      <c r="HQ39" s="39">
        <f t="shared" si="23"/>
        <v>0</v>
      </c>
      <c r="HR39" s="39"/>
      <c r="HS39" s="39"/>
      <c r="HT39" s="39">
        <v>283</v>
      </c>
      <c r="HU39" s="43">
        <v>271.4</v>
      </c>
      <c r="HV39" s="39">
        <v>6.213</v>
      </c>
      <c r="HW39" s="39">
        <v>6.213</v>
      </c>
      <c r="HX39" s="39">
        <f t="shared" si="24"/>
        <v>289.213</v>
      </c>
      <c r="HY39" s="39">
        <f t="shared" si="25"/>
        <v>277.613</v>
      </c>
    </row>
    <row r="40" spans="1:233" ht="12.75" customHeight="1">
      <c r="A40" s="14" t="s">
        <v>209</v>
      </c>
      <c r="B40" s="39"/>
      <c r="C40" s="39"/>
      <c r="D40" s="39">
        <f>229+229+230+191+191+192+191+191+192+153+153+153</f>
        <v>2295</v>
      </c>
      <c r="E40" s="39">
        <f>229+229+230+191+191+192+191+191+192+153+153+153</f>
        <v>2295</v>
      </c>
      <c r="F40" s="39"/>
      <c r="G40" s="39"/>
      <c r="H40" s="34"/>
      <c r="I40" s="34"/>
      <c r="J40" s="34"/>
      <c r="K40" s="34"/>
      <c r="L40" s="34"/>
      <c r="M40" s="34"/>
      <c r="N40" s="34"/>
      <c r="O40" s="34"/>
      <c r="P40" s="39"/>
      <c r="Q40" s="39"/>
      <c r="R40" s="39"/>
      <c r="S40" s="39"/>
      <c r="T40" s="39"/>
      <c r="U40" s="39"/>
      <c r="V40" s="39"/>
      <c r="W40" s="39"/>
      <c r="X40" s="34"/>
      <c r="Y40" s="34"/>
      <c r="Z40" s="34"/>
      <c r="AA40" s="34"/>
      <c r="AB40" s="34"/>
      <c r="AC40" s="34"/>
      <c r="AD40" s="34"/>
      <c r="AE40" s="34"/>
      <c r="AF40" s="39"/>
      <c r="AG40" s="48"/>
      <c r="AH40" s="126">
        <f t="shared" si="5"/>
        <v>2295</v>
      </c>
      <c r="AI40" s="126">
        <f t="shared" si="6"/>
        <v>2295</v>
      </c>
      <c r="AJ40" s="43"/>
      <c r="AK40" s="43"/>
      <c r="AL40" s="134"/>
      <c r="AM40" s="41"/>
      <c r="AN40" s="41"/>
      <c r="AO40" s="41"/>
      <c r="AP40" s="41"/>
      <c r="AQ40" s="41"/>
      <c r="AR40" s="39"/>
      <c r="AS40" s="39"/>
      <c r="AT40" s="43"/>
      <c r="AU40" s="43"/>
      <c r="AV40" s="43"/>
      <c r="AW40" s="43"/>
      <c r="AX40" s="43"/>
      <c r="AY40" s="43"/>
      <c r="AZ40" s="39">
        <f t="shared" si="7"/>
        <v>0</v>
      </c>
      <c r="BA40" s="39">
        <f t="shared" si="8"/>
        <v>0</v>
      </c>
      <c r="BB40" s="39">
        <v>0</v>
      </c>
      <c r="BC40" s="39">
        <v>0</v>
      </c>
      <c r="BD40" s="39"/>
      <c r="BE40" s="43"/>
      <c r="BF40" s="43"/>
      <c r="BG40" s="43"/>
      <c r="BH40" s="43"/>
      <c r="BI40" s="43"/>
      <c r="BJ40" s="43"/>
      <c r="BK40" s="43"/>
      <c r="BL40" s="43"/>
      <c r="BM40" s="43"/>
      <c r="BN40" s="45"/>
      <c r="BO40" s="45"/>
      <c r="BP40" s="45"/>
      <c r="BQ40" s="45"/>
      <c r="BR40" s="43"/>
      <c r="BS40" s="43"/>
      <c r="BT40" s="43"/>
      <c r="BU40" s="43"/>
      <c r="BV40" s="45"/>
      <c r="BW40" s="45"/>
      <c r="BX40" s="43"/>
      <c r="BY40" s="45"/>
      <c r="BZ40" s="43"/>
      <c r="CA40" s="45"/>
      <c r="CB40" s="45"/>
      <c r="CC40" s="45"/>
      <c r="CD40" s="45"/>
      <c r="CE40" s="45"/>
      <c r="CF40" s="39">
        <f t="shared" si="9"/>
        <v>0</v>
      </c>
      <c r="CG40" s="39">
        <f t="shared" si="10"/>
        <v>0</v>
      </c>
      <c r="CH40" s="39">
        <v>14894.20179</v>
      </c>
      <c r="CI40" s="39">
        <v>14894.20179</v>
      </c>
      <c r="CJ40" s="39">
        <v>4756.1408200000005</v>
      </c>
      <c r="CK40" s="43">
        <v>4756.1408200000005</v>
      </c>
      <c r="CL40" s="43"/>
      <c r="CM40" s="43"/>
      <c r="CN40" s="43"/>
      <c r="CO40" s="43"/>
      <c r="CP40" s="43"/>
      <c r="CQ40" s="39"/>
      <c r="CR40" s="43"/>
      <c r="CS40" s="43"/>
      <c r="CT40" s="43"/>
      <c r="CU40" s="43"/>
      <c r="CV40" s="43"/>
      <c r="CW40" s="43"/>
      <c r="CX40" s="43"/>
      <c r="CY40" s="43"/>
      <c r="CZ40" s="39"/>
      <c r="DA40" s="45"/>
      <c r="DB40" s="45"/>
      <c r="DC40" s="45"/>
      <c r="DD40" s="45"/>
      <c r="DE40" s="45"/>
      <c r="DF40" s="39">
        <f t="shared" si="11"/>
        <v>19650.34261</v>
      </c>
      <c r="DG40" s="39">
        <f t="shared" si="12"/>
        <v>19650.34261</v>
      </c>
      <c r="DH40" s="39"/>
      <c r="DI40" s="39"/>
      <c r="DJ40" s="39">
        <v>0</v>
      </c>
      <c r="DK40" s="39">
        <f t="shared" si="13"/>
        <v>0</v>
      </c>
      <c r="DL40" s="39"/>
      <c r="DM40" s="39"/>
      <c r="DN40" s="43"/>
      <c r="DO40" s="43"/>
      <c r="DP40" s="39">
        <f t="shared" si="14"/>
        <v>0</v>
      </c>
      <c r="DQ40" s="39">
        <f t="shared" si="15"/>
        <v>0</v>
      </c>
      <c r="DR40" s="39"/>
      <c r="DS40" s="39"/>
      <c r="DT40" s="43"/>
      <c r="DU40" s="43"/>
      <c r="DV40" s="43"/>
      <c r="DW40" s="43"/>
      <c r="DX40" s="43"/>
      <c r="DY40" s="43"/>
      <c r="DZ40" s="39"/>
      <c r="EA40" s="39"/>
      <c r="EB40" s="43"/>
      <c r="EC40" s="43"/>
      <c r="ED40" s="43"/>
      <c r="EE40" s="43"/>
      <c r="EF40" s="39">
        <v>0</v>
      </c>
      <c r="EG40" s="43"/>
      <c r="EH40" s="43">
        <v>0</v>
      </c>
      <c r="EI40" s="45"/>
      <c r="EJ40" s="39">
        <v>0</v>
      </c>
      <c r="EK40" s="43">
        <v>0</v>
      </c>
      <c r="EL40" s="43"/>
      <c r="EM40" s="43"/>
      <c r="EN40" s="43"/>
      <c r="EO40" s="43"/>
      <c r="EP40" s="43"/>
      <c r="EQ40" s="43"/>
      <c r="ER40" s="43"/>
      <c r="ES40" s="43"/>
      <c r="ET40" s="135"/>
      <c r="EU40" s="135"/>
      <c r="EV40" s="135"/>
      <c r="EW40" s="135"/>
      <c r="EX40" s="43"/>
      <c r="EY40" s="43"/>
      <c r="EZ40" s="43"/>
      <c r="FA40" s="43"/>
      <c r="FB40" s="37">
        <f t="shared" si="16"/>
        <v>0</v>
      </c>
      <c r="FC40" s="37">
        <f t="shared" si="17"/>
        <v>0</v>
      </c>
      <c r="FD40" s="39"/>
      <c r="FE40" s="39"/>
      <c r="FF40" s="43"/>
      <c r="FG40" s="43"/>
      <c r="FH40" s="132">
        <f t="shared" si="18"/>
        <v>0</v>
      </c>
      <c r="FI40" s="132">
        <f t="shared" si="19"/>
        <v>0</v>
      </c>
      <c r="FJ40" s="39"/>
      <c r="FK40" s="39"/>
      <c r="FL40" s="43"/>
      <c r="FM40" s="43"/>
      <c r="FN40" s="43"/>
      <c r="FO40" s="43"/>
      <c r="FP40" s="43"/>
      <c r="FQ40" s="43"/>
      <c r="FR40" s="39"/>
      <c r="FS40" s="135"/>
      <c r="FT40" s="43"/>
      <c r="FU40" s="43"/>
      <c r="FV40" s="43"/>
      <c r="FW40" s="43"/>
      <c r="FX40" s="43"/>
      <c r="FY40" s="43"/>
      <c r="FZ40" s="43"/>
      <c r="GA40" s="43"/>
      <c r="GB40" s="43"/>
      <c r="GC40" s="43"/>
      <c r="GD40" s="135"/>
      <c r="GE40" s="135"/>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39">
        <f t="shared" si="20"/>
        <v>0</v>
      </c>
      <c r="HE40" s="39">
        <f t="shared" si="21"/>
        <v>0</v>
      </c>
      <c r="HF40" s="39"/>
      <c r="HG40" s="39"/>
      <c r="HH40" s="39"/>
      <c r="HI40" s="43"/>
      <c r="HJ40" s="43"/>
      <c r="HK40" s="43"/>
      <c r="HL40" s="43"/>
      <c r="HM40" s="43"/>
      <c r="HN40" s="136"/>
      <c r="HO40" s="136"/>
      <c r="HP40" s="39">
        <f t="shared" si="22"/>
        <v>0</v>
      </c>
      <c r="HQ40" s="39">
        <f t="shared" si="23"/>
        <v>0</v>
      </c>
      <c r="HR40" s="39"/>
      <c r="HS40" s="39"/>
      <c r="HT40" s="39"/>
      <c r="HU40" s="43"/>
      <c r="HV40" s="39"/>
      <c r="HW40" s="39"/>
      <c r="HX40" s="39">
        <f t="shared" si="24"/>
        <v>0</v>
      </c>
      <c r="HY40" s="39">
        <f t="shared" si="25"/>
        <v>0</v>
      </c>
    </row>
    <row r="41" spans="1:233" ht="12.75">
      <c r="A41" s="14" t="s">
        <v>231</v>
      </c>
      <c r="B41" s="39"/>
      <c r="C41" s="39"/>
      <c r="D41" s="39">
        <f>262+262+261+218+218+218+218+218+218+174.7+174.7+174.6</f>
        <v>2616.9999999999995</v>
      </c>
      <c r="E41" s="39">
        <f>262+262+261+218+218+218+218+218+218+174.7+174.7+174.6</f>
        <v>2616.9999999999995</v>
      </c>
      <c r="F41" s="39"/>
      <c r="G41" s="39"/>
      <c r="H41" s="34"/>
      <c r="I41" s="34"/>
      <c r="J41" s="34"/>
      <c r="K41" s="34"/>
      <c r="L41" s="34"/>
      <c r="M41" s="34"/>
      <c r="N41" s="34"/>
      <c r="O41" s="34"/>
      <c r="P41" s="39"/>
      <c r="Q41" s="39"/>
      <c r="R41" s="39"/>
      <c r="S41" s="39"/>
      <c r="T41" s="39"/>
      <c r="U41" s="39"/>
      <c r="V41" s="39">
        <v>150</v>
      </c>
      <c r="W41" s="39">
        <f>150</f>
        <v>150</v>
      </c>
      <c r="X41" s="34"/>
      <c r="Y41" s="34"/>
      <c r="Z41" s="34"/>
      <c r="AA41" s="34"/>
      <c r="AB41" s="34"/>
      <c r="AC41" s="34"/>
      <c r="AD41" s="34"/>
      <c r="AE41" s="34"/>
      <c r="AF41" s="39">
        <v>147</v>
      </c>
      <c r="AG41" s="48">
        <f>12.3+12.3+12.3+12.3+12.3+1.8+27.8+2.7+11.4+14.8+15+12</f>
        <v>147</v>
      </c>
      <c r="AH41" s="126">
        <f t="shared" si="5"/>
        <v>2913.9999999999995</v>
      </c>
      <c r="AI41" s="126">
        <f t="shared" si="6"/>
        <v>2913.9999999999995</v>
      </c>
      <c r="AJ41" s="43"/>
      <c r="AK41" s="43"/>
      <c r="AL41" s="134"/>
      <c r="AM41" s="41"/>
      <c r="AN41" s="41"/>
      <c r="AO41" s="41"/>
      <c r="AP41" s="41"/>
      <c r="AQ41" s="41"/>
      <c r="AR41" s="39"/>
      <c r="AS41" s="39"/>
      <c r="AT41" s="43"/>
      <c r="AU41" s="43"/>
      <c r="AV41" s="43"/>
      <c r="AW41" s="43"/>
      <c r="AX41" s="43"/>
      <c r="AY41" s="43"/>
      <c r="AZ41" s="39">
        <f t="shared" si="7"/>
        <v>0</v>
      </c>
      <c r="BA41" s="39">
        <f t="shared" si="8"/>
        <v>0</v>
      </c>
      <c r="BB41" s="39">
        <v>0</v>
      </c>
      <c r="BC41" s="39">
        <v>0</v>
      </c>
      <c r="BD41" s="39"/>
      <c r="BE41" s="43"/>
      <c r="BF41" s="43"/>
      <c r="BG41" s="43"/>
      <c r="BH41" s="43"/>
      <c r="BI41" s="43"/>
      <c r="BJ41" s="43"/>
      <c r="BK41" s="43"/>
      <c r="BL41" s="43"/>
      <c r="BM41" s="43"/>
      <c r="BN41" s="45"/>
      <c r="BO41" s="45"/>
      <c r="BP41" s="45"/>
      <c r="BQ41" s="45"/>
      <c r="BR41" s="43"/>
      <c r="BS41" s="43"/>
      <c r="BT41" s="43"/>
      <c r="BU41" s="43"/>
      <c r="BV41" s="45"/>
      <c r="BW41" s="45"/>
      <c r="BX41" s="43"/>
      <c r="BY41" s="45"/>
      <c r="BZ41" s="43"/>
      <c r="CA41" s="45"/>
      <c r="CB41" s="45"/>
      <c r="CC41" s="45"/>
      <c r="CD41" s="45"/>
      <c r="CE41" s="45"/>
      <c r="CF41" s="39">
        <f t="shared" si="9"/>
        <v>0</v>
      </c>
      <c r="CG41" s="39">
        <f t="shared" si="10"/>
        <v>0</v>
      </c>
      <c r="CH41" s="39">
        <v>12476.05467</v>
      </c>
      <c r="CI41" s="39">
        <v>12476.05467</v>
      </c>
      <c r="CJ41" s="39">
        <v>3983.9579</v>
      </c>
      <c r="CK41" s="43">
        <v>3983.9579</v>
      </c>
      <c r="CL41" s="43"/>
      <c r="CM41" s="43"/>
      <c r="CN41" s="43"/>
      <c r="CO41" s="43"/>
      <c r="CP41" s="43"/>
      <c r="CQ41" s="39"/>
      <c r="CR41" s="43"/>
      <c r="CS41" s="43"/>
      <c r="CT41" s="43"/>
      <c r="CU41" s="43"/>
      <c r="CV41" s="43"/>
      <c r="CW41" s="43"/>
      <c r="CX41" s="43"/>
      <c r="CY41" s="43"/>
      <c r="CZ41" s="39"/>
      <c r="DA41" s="45"/>
      <c r="DB41" s="45"/>
      <c r="DC41" s="45"/>
      <c r="DD41" s="45"/>
      <c r="DE41" s="45"/>
      <c r="DF41" s="39">
        <f t="shared" si="11"/>
        <v>16460.01257</v>
      </c>
      <c r="DG41" s="39">
        <f t="shared" si="12"/>
        <v>16460.01257</v>
      </c>
      <c r="DH41" s="39"/>
      <c r="DI41" s="39"/>
      <c r="DJ41" s="39">
        <v>0</v>
      </c>
      <c r="DK41" s="39">
        <f t="shared" si="13"/>
        <v>0</v>
      </c>
      <c r="DL41" s="39"/>
      <c r="DM41" s="39"/>
      <c r="DN41" s="43"/>
      <c r="DO41" s="43"/>
      <c r="DP41" s="39">
        <f t="shared" si="14"/>
        <v>0</v>
      </c>
      <c r="DQ41" s="39">
        <f t="shared" si="15"/>
        <v>0</v>
      </c>
      <c r="DR41" s="39"/>
      <c r="DS41" s="39"/>
      <c r="DT41" s="43"/>
      <c r="DU41" s="43"/>
      <c r="DV41" s="43"/>
      <c r="DW41" s="43"/>
      <c r="DX41" s="43"/>
      <c r="DY41" s="43"/>
      <c r="DZ41" s="39"/>
      <c r="EA41" s="39"/>
      <c r="EB41" s="43"/>
      <c r="EC41" s="43"/>
      <c r="ED41" s="43"/>
      <c r="EE41" s="43"/>
      <c r="EF41" s="39">
        <v>0</v>
      </c>
      <c r="EG41" s="43"/>
      <c r="EH41" s="43">
        <v>0</v>
      </c>
      <c r="EI41" s="45"/>
      <c r="EJ41" s="39">
        <v>0</v>
      </c>
      <c r="EK41" s="43">
        <v>0</v>
      </c>
      <c r="EL41" s="43"/>
      <c r="EM41" s="43"/>
      <c r="EN41" s="45"/>
      <c r="EO41" s="45"/>
      <c r="EP41" s="43"/>
      <c r="EQ41" s="43"/>
      <c r="ER41" s="43"/>
      <c r="ES41" s="43"/>
      <c r="ET41" s="135"/>
      <c r="EU41" s="135"/>
      <c r="EV41" s="135"/>
      <c r="EW41" s="135"/>
      <c r="EX41" s="43"/>
      <c r="EY41" s="43"/>
      <c r="EZ41" s="43"/>
      <c r="FA41" s="43"/>
      <c r="FB41" s="37">
        <f t="shared" si="16"/>
        <v>0</v>
      </c>
      <c r="FC41" s="37">
        <f t="shared" si="17"/>
        <v>0</v>
      </c>
      <c r="FD41" s="39"/>
      <c r="FE41" s="39"/>
      <c r="FF41" s="43"/>
      <c r="FG41" s="43"/>
      <c r="FH41" s="132">
        <f t="shared" si="18"/>
        <v>0</v>
      </c>
      <c r="FI41" s="132">
        <f t="shared" si="19"/>
        <v>0</v>
      </c>
      <c r="FJ41" s="39"/>
      <c r="FK41" s="39"/>
      <c r="FL41" s="43"/>
      <c r="FM41" s="43"/>
      <c r="FN41" s="43"/>
      <c r="FO41" s="43"/>
      <c r="FP41" s="43"/>
      <c r="FQ41" s="43"/>
      <c r="FR41" s="39"/>
      <c r="FS41" s="135"/>
      <c r="FT41" s="43"/>
      <c r="FU41" s="43"/>
      <c r="FV41" s="43"/>
      <c r="FW41" s="43"/>
      <c r="FX41" s="43"/>
      <c r="FY41" s="43"/>
      <c r="FZ41" s="43"/>
      <c r="GA41" s="43"/>
      <c r="GB41" s="43"/>
      <c r="GC41" s="43"/>
      <c r="GD41" s="135"/>
      <c r="GE41" s="135"/>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39">
        <f t="shared" si="20"/>
        <v>0</v>
      </c>
      <c r="HE41" s="39">
        <f t="shared" si="21"/>
        <v>0</v>
      </c>
      <c r="HF41" s="39"/>
      <c r="HG41" s="39"/>
      <c r="HH41" s="39"/>
      <c r="HI41" s="43"/>
      <c r="HJ41" s="43"/>
      <c r="HK41" s="43"/>
      <c r="HL41" s="43"/>
      <c r="HM41" s="43"/>
      <c r="HN41" s="136"/>
      <c r="HO41" s="136"/>
      <c r="HP41" s="39">
        <f t="shared" si="22"/>
        <v>0</v>
      </c>
      <c r="HQ41" s="39">
        <f t="shared" si="23"/>
        <v>0</v>
      </c>
      <c r="HR41" s="39"/>
      <c r="HS41" s="39"/>
      <c r="HT41" s="39"/>
      <c r="HU41" s="43"/>
      <c r="HV41" s="39"/>
      <c r="HW41" s="39"/>
      <c r="HX41" s="39">
        <f t="shared" si="24"/>
        <v>0</v>
      </c>
      <c r="HY41" s="39">
        <f t="shared" si="25"/>
        <v>0</v>
      </c>
    </row>
    <row r="42" spans="1:233" ht="12.75" customHeight="1">
      <c r="A42" s="14" t="s">
        <v>232</v>
      </c>
      <c r="B42" s="39"/>
      <c r="C42" s="39"/>
      <c r="D42" s="39">
        <f>499+499+500+416+416+417+416+416+417+333+333+333</f>
        <v>4995</v>
      </c>
      <c r="E42" s="39">
        <f>499+499+500+416+416+417+416+416+417+333+333+333</f>
        <v>4995</v>
      </c>
      <c r="F42" s="39"/>
      <c r="G42" s="39"/>
      <c r="H42" s="34"/>
      <c r="I42" s="34"/>
      <c r="J42" s="34"/>
      <c r="K42" s="34"/>
      <c r="L42" s="34"/>
      <c r="M42" s="34"/>
      <c r="N42" s="34"/>
      <c r="O42" s="34"/>
      <c r="P42" s="39"/>
      <c r="Q42" s="39"/>
      <c r="R42" s="39">
        <v>20</v>
      </c>
      <c r="S42" s="39">
        <f>19.95855</f>
        <v>19.95855</v>
      </c>
      <c r="T42" s="39">
        <v>10.828059999999999</v>
      </c>
      <c r="U42" s="39">
        <v>10.82806</v>
      </c>
      <c r="V42" s="39">
        <v>2017.7</v>
      </c>
      <c r="W42" s="34">
        <f>175+345+379.7+141+571+406</f>
        <v>2017.7</v>
      </c>
      <c r="X42" s="34"/>
      <c r="Y42" s="34"/>
      <c r="Z42" s="34"/>
      <c r="AA42" s="34"/>
      <c r="AB42" s="34"/>
      <c r="AC42" s="34"/>
      <c r="AD42" s="34"/>
      <c r="AE42" s="34"/>
      <c r="AF42" s="39">
        <v>147</v>
      </c>
      <c r="AG42" s="48">
        <f>12.3+12.3+12.3+12.3+12.3+10.8+7.4+11.3+12.4+11.4+21+11.2</f>
        <v>147</v>
      </c>
      <c r="AH42" s="126">
        <f t="shared" si="5"/>
        <v>7190.52806</v>
      </c>
      <c r="AI42" s="126">
        <f t="shared" si="6"/>
        <v>7190.48661</v>
      </c>
      <c r="AJ42" s="43"/>
      <c r="AK42" s="43"/>
      <c r="AL42" s="134"/>
      <c r="AM42" s="41"/>
      <c r="AN42" s="41"/>
      <c r="AO42" s="41"/>
      <c r="AP42" s="41"/>
      <c r="AQ42" s="41"/>
      <c r="AR42" s="39"/>
      <c r="AS42" s="39"/>
      <c r="AT42" s="43"/>
      <c r="AU42" s="43"/>
      <c r="AV42" s="43"/>
      <c r="AW42" s="43"/>
      <c r="AX42" s="43"/>
      <c r="AY42" s="43"/>
      <c r="AZ42" s="39">
        <f t="shared" si="7"/>
        <v>0</v>
      </c>
      <c r="BA42" s="39">
        <f t="shared" si="8"/>
        <v>0</v>
      </c>
      <c r="BB42" s="39">
        <v>0</v>
      </c>
      <c r="BC42" s="39">
        <v>0</v>
      </c>
      <c r="BD42" s="39"/>
      <c r="BE42" s="43"/>
      <c r="BF42" s="43"/>
      <c r="BG42" s="43"/>
      <c r="BH42" s="43"/>
      <c r="BI42" s="43"/>
      <c r="BJ42" s="43"/>
      <c r="BK42" s="43"/>
      <c r="BL42" s="43"/>
      <c r="BM42" s="43"/>
      <c r="BN42" s="45"/>
      <c r="BO42" s="45"/>
      <c r="BP42" s="45"/>
      <c r="BQ42" s="45"/>
      <c r="BR42" s="43"/>
      <c r="BS42" s="43"/>
      <c r="BT42" s="43"/>
      <c r="BU42" s="43"/>
      <c r="BV42" s="45"/>
      <c r="BW42" s="45"/>
      <c r="BX42" s="43"/>
      <c r="BY42" s="45"/>
      <c r="BZ42" s="43"/>
      <c r="CA42" s="45"/>
      <c r="CB42" s="45"/>
      <c r="CC42" s="45"/>
      <c r="CD42" s="45"/>
      <c r="CE42" s="45"/>
      <c r="CF42" s="39">
        <f t="shared" si="9"/>
        <v>0</v>
      </c>
      <c r="CG42" s="39">
        <f t="shared" si="10"/>
        <v>0</v>
      </c>
      <c r="CH42" s="39"/>
      <c r="CI42" s="39"/>
      <c r="CJ42" s="39"/>
      <c r="CK42" s="45"/>
      <c r="CL42" s="45"/>
      <c r="CM42" s="43"/>
      <c r="CN42" s="43"/>
      <c r="CO42" s="43"/>
      <c r="CP42" s="43"/>
      <c r="CQ42" s="39"/>
      <c r="CR42" s="43"/>
      <c r="CS42" s="43"/>
      <c r="CT42" s="43"/>
      <c r="CU42" s="43"/>
      <c r="CV42" s="43"/>
      <c r="CW42" s="43"/>
      <c r="CX42" s="43"/>
      <c r="CY42" s="43"/>
      <c r="CZ42" s="39"/>
      <c r="DA42" s="45"/>
      <c r="DB42" s="45"/>
      <c r="DC42" s="45"/>
      <c r="DD42" s="45"/>
      <c r="DE42" s="45"/>
      <c r="DF42" s="39">
        <f t="shared" si="11"/>
        <v>0</v>
      </c>
      <c r="DG42" s="39">
        <f t="shared" si="12"/>
        <v>0</v>
      </c>
      <c r="DH42" s="39"/>
      <c r="DI42" s="39"/>
      <c r="DJ42" s="39">
        <v>0</v>
      </c>
      <c r="DK42" s="39">
        <f t="shared" si="13"/>
        <v>0</v>
      </c>
      <c r="DL42" s="39"/>
      <c r="DM42" s="39"/>
      <c r="DN42" s="43"/>
      <c r="DO42" s="43"/>
      <c r="DP42" s="39">
        <f t="shared" si="14"/>
        <v>0</v>
      </c>
      <c r="DQ42" s="39">
        <f t="shared" si="15"/>
        <v>0</v>
      </c>
      <c r="DR42" s="39"/>
      <c r="DS42" s="39"/>
      <c r="DT42" s="43"/>
      <c r="DU42" s="43"/>
      <c r="DV42" s="43"/>
      <c r="DW42" s="43"/>
      <c r="DX42" s="43"/>
      <c r="DY42" s="43"/>
      <c r="DZ42" s="39"/>
      <c r="EA42" s="39"/>
      <c r="EB42" s="43"/>
      <c r="EC42" s="43"/>
      <c r="ED42" s="43"/>
      <c r="EE42" s="43"/>
      <c r="EF42" s="39">
        <v>0</v>
      </c>
      <c r="EG42" s="43"/>
      <c r="EH42" s="43">
        <v>0</v>
      </c>
      <c r="EI42" s="45"/>
      <c r="EJ42" s="39">
        <v>0</v>
      </c>
      <c r="EK42" s="43">
        <v>0</v>
      </c>
      <c r="EL42" s="43"/>
      <c r="EM42" s="43"/>
      <c r="EN42" s="45"/>
      <c r="EO42" s="45"/>
      <c r="EP42" s="43"/>
      <c r="EQ42" s="43"/>
      <c r="ER42" s="43"/>
      <c r="ES42" s="43"/>
      <c r="ET42" s="135"/>
      <c r="EU42" s="135"/>
      <c r="EV42" s="135"/>
      <c r="EW42" s="135"/>
      <c r="EX42" s="43"/>
      <c r="EY42" s="43"/>
      <c r="EZ42" s="43"/>
      <c r="FA42" s="43"/>
      <c r="FB42" s="37">
        <f t="shared" si="16"/>
        <v>0</v>
      </c>
      <c r="FC42" s="37">
        <f t="shared" si="17"/>
        <v>0</v>
      </c>
      <c r="FD42" s="39"/>
      <c r="FE42" s="39"/>
      <c r="FF42" s="43"/>
      <c r="FG42" s="43"/>
      <c r="FH42" s="132">
        <f t="shared" si="18"/>
        <v>0</v>
      </c>
      <c r="FI42" s="132">
        <f t="shared" si="19"/>
        <v>0</v>
      </c>
      <c r="FJ42" s="39"/>
      <c r="FK42" s="39"/>
      <c r="FL42" s="43"/>
      <c r="FM42" s="43"/>
      <c r="FN42" s="43"/>
      <c r="FO42" s="43"/>
      <c r="FP42" s="43"/>
      <c r="FQ42" s="43"/>
      <c r="FR42" s="39"/>
      <c r="FS42" s="135"/>
      <c r="FT42" s="43"/>
      <c r="FU42" s="43"/>
      <c r="FV42" s="43"/>
      <c r="FW42" s="43"/>
      <c r="FX42" s="43"/>
      <c r="FY42" s="43"/>
      <c r="FZ42" s="43"/>
      <c r="GA42" s="43"/>
      <c r="GB42" s="43"/>
      <c r="GC42" s="43"/>
      <c r="GD42" s="135"/>
      <c r="GE42" s="135"/>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39">
        <f t="shared" si="20"/>
        <v>0</v>
      </c>
      <c r="HE42" s="39">
        <f t="shared" si="21"/>
        <v>0</v>
      </c>
      <c r="HF42" s="39"/>
      <c r="HG42" s="39"/>
      <c r="HH42" s="39"/>
      <c r="HI42" s="43"/>
      <c r="HJ42" s="43"/>
      <c r="HK42" s="43"/>
      <c r="HL42" s="43"/>
      <c r="HM42" s="43"/>
      <c r="HN42" s="136"/>
      <c r="HO42" s="136"/>
      <c r="HP42" s="39">
        <f t="shared" si="22"/>
        <v>0</v>
      </c>
      <c r="HQ42" s="39">
        <f t="shared" si="23"/>
        <v>0</v>
      </c>
      <c r="HR42" s="39"/>
      <c r="HS42" s="39"/>
      <c r="HT42" s="39"/>
      <c r="HU42" s="43"/>
      <c r="HV42" s="39"/>
      <c r="HW42" s="39"/>
      <c r="HX42" s="39">
        <f t="shared" si="24"/>
        <v>0</v>
      </c>
      <c r="HY42" s="39">
        <f t="shared" si="25"/>
        <v>0</v>
      </c>
    </row>
    <row r="43" spans="1:233" ht="12.75">
      <c r="A43" s="14" t="s">
        <v>233</v>
      </c>
      <c r="B43" s="39"/>
      <c r="C43" s="39"/>
      <c r="D43" s="39">
        <f>523+523+522+436+436+435+436+436+435+348.7+348.7+348.6</f>
        <v>5228</v>
      </c>
      <c r="E43" s="39">
        <f>523+523+522+436+436+435+436+436+435+348.7+348.7+348.6</f>
        <v>5228</v>
      </c>
      <c r="F43" s="39"/>
      <c r="G43" s="39"/>
      <c r="H43" s="34"/>
      <c r="I43" s="34"/>
      <c r="J43" s="34"/>
      <c r="K43" s="34"/>
      <c r="L43" s="34"/>
      <c r="M43" s="34"/>
      <c r="N43" s="34"/>
      <c r="O43" s="34"/>
      <c r="P43" s="39"/>
      <c r="Q43" s="39"/>
      <c r="R43" s="39"/>
      <c r="S43" s="39"/>
      <c r="T43" s="39">
        <v>0.69475</v>
      </c>
      <c r="U43" s="39">
        <v>0.69475</v>
      </c>
      <c r="V43" s="39">
        <v>338.3</v>
      </c>
      <c r="W43" s="34">
        <f>228.3+30+80</f>
        <v>338.3</v>
      </c>
      <c r="X43" s="34"/>
      <c r="Y43" s="34"/>
      <c r="Z43" s="34"/>
      <c r="AA43" s="34"/>
      <c r="AB43" s="34"/>
      <c r="AC43" s="34"/>
      <c r="AD43" s="34"/>
      <c r="AE43" s="34"/>
      <c r="AF43" s="39">
        <v>147</v>
      </c>
      <c r="AG43" s="48">
        <f>12.3+12.3+12.3+12.3+12.3+21.7+19.7+3+11+10+10+10.1</f>
        <v>147</v>
      </c>
      <c r="AH43" s="126">
        <f t="shared" si="5"/>
        <v>5713.99475</v>
      </c>
      <c r="AI43" s="126">
        <f t="shared" si="6"/>
        <v>5713.99475</v>
      </c>
      <c r="AJ43" s="43"/>
      <c r="AK43" s="43"/>
      <c r="AL43" s="134"/>
      <c r="AM43" s="41"/>
      <c r="AN43" s="41"/>
      <c r="AO43" s="41"/>
      <c r="AP43" s="41"/>
      <c r="AQ43" s="41"/>
      <c r="AR43" s="39"/>
      <c r="AS43" s="39"/>
      <c r="AT43" s="43"/>
      <c r="AU43" s="43"/>
      <c r="AV43" s="43"/>
      <c r="AW43" s="43"/>
      <c r="AX43" s="43"/>
      <c r="AY43" s="43"/>
      <c r="AZ43" s="39">
        <f t="shared" si="7"/>
        <v>0</v>
      </c>
      <c r="BA43" s="39">
        <f t="shared" si="8"/>
        <v>0</v>
      </c>
      <c r="BB43" s="39">
        <v>0</v>
      </c>
      <c r="BC43" s="39">
        <v>0</v>
      </c>
      <c r="BD43" s="39"/>
      <c r="BE43" s="43"/>
      <c r="BF43" s="43"/>
      <c r="BG43" s="43"/>
      <c r="BH43" s="43"/>
      <c r="BI43" s="43"/>
      <c r="BJ43" s="43"/>
      <c r="BK43" s="43"/>
      <c r="BL43" s="43"/>
      <c r="BM43" s="43"/>
      <c r="BN43" s="45"/>
      <c r="BO43" s="45"/>
      <c r="BP43" s="45"/>
      <c r="BQ43" s="45"/>
      <c r="BR43" s="43"/>
      <c r="BS43" s="43"/>
      <c r="BT43" s="43"/>
      <c r="BU43" s="43"/>
      <c r="BV43" s="45"/>
      <c r="BW43" s="45"/>
      <c r="BX43" s="43"/>
      <c r="BY43" s="45"/>
      <c r="BZ43" s="43"/>
      <c r="CA43" s="45"/>
      <c r="CB43" s="45"/>
      <c r="CC43" s="45"/>
      <c r="CD43" s="45"/>
      <c r="CE43" s="45"/>
      <c r="CF43" s="39">
        <f t="shared" si="9"/>
        <v>0</v>
      </c>
      <c r="CG43" s="39">
        <f t="shared" si="10"/>
        <v>0</v>
      </c>
      <c r="CH43" s="39"/>
      <c r="CI43" s="39"/>
      <c r="CJ43" s="39"/>
      <c r="CK43" s="45"/>
      <c r="CL43" s="45"/>
      <c r="CM43" s="43"/>
      <c r="CN43" s="43"/>
      <c r="CO43" s="43"/>
      <c r="CP43" s="43"/>
      <c r="CQ43" s="39"/>
      <c r="CR43" s="43"/>
      <c r="CS43" s="43"/>
      <c r="CT43" s="43"/>
      <c r="CU43" s="45"/>
      <c r="CV43" s="45"/>
      <c r="CW43" s="43"/>
      <c r="CX43" s="43"/>
      <c r="CY43" s="43"/>
      <c r="CZ43" s="39"/>
      <c r="DA43" s="45"/>
      <c r="DB43" s="45"/>
      <c r="DC43" s="45"/>
      <c r="DD43" s="45"/>
      <c r="DE43" s="45"/>
      <c r="DF43" s="39">
        <f t="shared" si="11"/>
        <v>0</v>
      </c>
      <c r="DG43" s="39">
        <f t="shared" si="12"/>
        <v>0</v>
      </c>
      <c r="DH43" s="39"/>
      <c r="DI43" s="39"/>
      <c r="DJ43" s="39">
        <v>0</v>
      </c>
      <c r="DK43" s="39">
        <f t="shared" si="13"/>
        <v>0</v>
      </c>
      <c r="DL43" s="39"/>
      <c r="DM43" s="39"/>
      <c r="DN43" s="43"/>
      <c r="DO43" s="43"/>
      <c r="DP43" s="39">
        <f t="shared" si="14"/>
        <v>0</v>
      </c>
      <c r="DQ43" s="39">
        <f t="shared" si="15"/>
        <v>0</v>
      </c>
      <c r="DR43" s="39"/>
      <c r="DS43" s="39"/>
      <c r="DT43" s="43"/>
      <c r="DU43" s="43"/>
      <c r="DV43" s="43"/>
      <c r="DW43" s="43"/>
      <c r="DX43" s="43"/>
      <c r="DY43" s="43"/>
      <c r="DZ43" s="39"/>
      <c r="EA43" s="39"/>
      <c r="EB43" s="43"/>
      <c r="EC43" s="43"/>
      <c r="ED43" s="43"/>
      <c r="EE43" s="43"/>
      <c r="EF43" s="39">
        <v>0</v>
      </c>
      <c r="EG43" s="43"/>
      <c r="EH43" s="43">
        <v>0</v>
      </c>
      <c r="EI43" s="45"/>
      <c r="EJ43" s="39">
        <v>0</v>
      </c>
      <c r="EK43" s="43">
        <v>0</v>
      </c>
      <c r="EL43" s="43"/>
      <c r="EM43" s="43"/>
      <c r="EN43" s="45"/>
      <c r="EO43" s="45"/>
      <c r="EP43" s="43"/>
      <c r="EQ43" s="43"/>
      <c r="ER43" s="43"/>
      <c r="ES43" s="43"/>
      <c r="ET43" s="135"/>
      <c r="EU43" s="135"/>
      <c r="EV43" s="135"/>
      <c r="EW43" s="135"/>
      <c r="EX43" s="43"/>
      <c r="EY43" s="43"/>
      <c r="EZ43" s="43"/>
      <c r="FA43" s="43"/>
      <c r="FB43" s="37">
        <f t="shared" si="16"/>
        <v>0</v>
      </c>
      <c r="FC43" s="37">
        <f t="shared" si="17"/>
        <v>0</v>
      </c>
      <c r="FD43" s="39"/>
      <c r="FE43" s="39"/>
      <c r="FF43" s="43"/>
      <c r="FG43" s="43"/>
      <c r="FH43" s="132">
        <f t="shared" si="18"/>
        <v>0</v>
      </c>
      <c r="FI43" s="132">
        <f t="shared" si="19"/>
        <v>0</v>
      </c>
      <c r="FJ43" s="39"/>
      <c r="FK43" s="39"/>
      <c r="FL43" s="43"/>
      <c r="FM43" s="43"/>
      <c r="FN43" s="43"/>
      <c r="FO43" s="43"/>
      <c r="FP43" s="43"/>
      <c r="FQ43" s="43"/>
      <c r="FR43" s="39"/>
      <c r="FS43" s="135"/>
      <c r="FT43" s="43"/>
      <c r="FU43" s="43"/>
      <c r="FV43" s="43"/>
      <c r="FW43" s="43"/>
      <c r="FX43" s="43"/>
      <c r="FY43" s="43"/>
      <c r="FZ43" s="43"/>
      <c r="GA43" s="43"/>
      <c r="GB43" s="43"/>
      <c r="GC43" s="43"/>
      <c r="GD43" s="135"/>
      <c r="GE43" s="135"/>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39">
        <f t="shared" si="20"/>
        <v>0</v>
      </c>
      <c r="HE43" s="39">
        <f t="shared" si="21"/>
        <v>0</v>
      </c>
      <c r="HF43" s="39"/>
      <c r="HG43" s="39"/>
      <c r="HH43" s="39"/>
      <c r="HI43" s="43"/>
      <c r="HJ43" s="43"/>
      <c r="HK43" s="43"/>
      <c r="HL43" s="43"/>
      <c r="HM43" s="43"/>
      <c r="HN43" s="136"/>
      <c r="HO43" s="136"/>
      <c r="HP43" s="39">
        <f t="shared" si="22"/>
        <v>0</v>
      </c>
      <c r="HQ43" s="39">
        <f t="shared" si="23"/>
        <v>0</v>
      </c>
      <c r="HR43" s="39"/>
      <c r="HS43" s="39"/>
      <c r="HT43" s="39"/>
      <c r="HU43" s="43"/>
      <c r="HV43" s="39"/>
      <c r="HW43" s="39"/>
      <c r="HX43" s="39">
        <f t="shared" si="24"/>
        <v>0</v>
      </c>
      <c r="HY43" s="39">
        <f t="shared" si="25"/>
        <v>0</v>
      </c>
    </row>
    <row r="44" spans="1:233" ht="12.75" customHeight="1">
      <c r="A44" s="13" t="s">
        <v>145</v>
      </c>
      <c r="B44" s="39">
        <f>SUM(B45:B59)</f>
        <v>115520</v>
      </c>
      <c r="C44" s="39">
        <f aca="true" t="shared" si="38" ref="C44:BN44">SUM(C45:C59)</f>
        <v>115520</v>
      </c>
      <c r="D44" s="39">
        <f t="shared" si="38"/>
        <v>40108</v>
      </c>
      <c r="E44" s="39">
        <f t="shared" si="38"/>
        <v>40108</v>
      </c>
      <c r="F44" s="39">
        <f t="shared" si="38"/>
        <v>107422</v>
      </c>
      <c r="G44" s="39">
        <f t="shared" si="38"/>
        <v>107422</v>
      </c>
      <c r="H44" s="39">
        <f t="shared" si="38"/>
        <v>0</v>
      </c>
      <c r="I44" s="39">
        <f t="shared" si="38"/>
        <v>0</v>
      </c>
      <c r="J44" s="39">
        <f t="shared" si="38"/>
        <v>14250.099999999999</v>
      </c>
      <c r="K44" s="39">
        <f t="shared" si="38"/>
        <v>14250.099999999999</v>
      </c>
      <c r="L44" s="39">
        <f t="shared" si="38"/>
        <v>0</v>
      </c>
      <c r="M44" s="39">
        <f t="shared" si="38"/>
        <v>0</v>
      </c>
      <c r="N44" s="39">
        <f t="shared" si="38"/>
        <v>0</v>
      </c>
      <c r="O44" s="39">
        <f t="shared" si="38"/>
        <v>0</v>
      </c>
      <c r="P44" s="39">
        <f t="shared" si="38"/>
        <v>0</v>
      </c>
      <c r="Q44" s="39">
        <f t="shared" si="38"/>
        <v>0</v>
      </c>
      <c r="R44" s="39">
        <f t="shared" si="38"/>
        <v>1320</v>
      </c>
      <c r="S44" s="39">
        <f t="shared" si="38"/>
        <v>1307.88662</v>
      </c>
      <c r="T44" s="39">
        <f t="shared" si="38"/>
        <v>10487.40194</v>
      </c>
      <c r="U44" s="39">
        <f t="shared" si="38"/>
        <v>10481.19294</v>
      </c>
      <c r="V44" s="39">
        <f t="shared" si="38"/>
        <v>979.89</v>
      </c>
      <c r="W44" s="39">
        <f t="shared" si="38"/>
        <v>979.89</v>
      </c>
      <c r="X44" s="39">
        <f t="shared" si="38"/>
        <v>0</v>
      </c>
      <c r="Y44" s="39">
        <f t="shared" si="38"/>
        <v>0</v>
      </c>
      <c r="Z44" s="39">
        <f t="shared" si="38"/>
        <v>0</v>
      </c>
      <c r="AA44" s="39">
        <f t="shared" si="38"/>
        <v>0</v>
      </c>
      <c r="AB44" s="39">
        <f t="shared" si="38"/>
        <v>0</v>
      </c>
      <c r="AC44" s="39">
        <f t="shared" si="38"/>
        <v>0</v>
      </c>
      <c r="AD44" s="39">
        <f t="shared" si="38"/>
        <v>19851</v>
      </c>
      <c r="AE44" s="39">
        <f t="shared" si="38"/>
        <v>19851</v>
      </c>
      <c r="AF44" s="39">
        <f t="shared" si="38"/>
        <v>1836</v>
      </c>
      <c r="AG44" s="39">
        <f t="shared" si="38"/>
        <v>1836</v>
      </c>
      <c r="AH44" s="39">
        <f t="shared" si="38"/>
        <v>311774.39194</v>
      </c>
      <c r="AI44" s="39">
        <f t="shared" si="38"/>
        <v>311756.06956000003</v>
      </c>
      <c r="AJ44" s="39">
        <f t="shared" si="38"/>
        <v>333.2</v>
      </c>
      <c r="AK44" s="39">
        <f t="shared" si="38"/>
        <v>333.2</v>
      </c>
      <c r="AL44" s="39">
        <f t="shared" si="38"/>
        <v>0</v>
      </c>
      <c r="AM44" s="39">
        <f t="shared" si="38"/>
        <v>0</v>
      </c>
      <c r="AN44" s="39">
        <f t="shared" si="38"/>
        <v>400</v>
      </c>
      <c r="AO44" s="39">
        <f t="shared" si="38"/>
        <v>400</v>
      </c>
      <c r="AP44" s="39">
        <f t="shared" si="38"/>
        <v>0</v>
      </c>
      <c r="AQ44" s="39">
        <f t="shared" si="38"/>
        <v>0</v>
      </c>
      <c r="AR44" s="39">
        <f t="shared" si="38"/>
        <v>0</v>
      </c>
      <c r="AS44" s="39">
        <f t="shared" si="38"/>
        <v>0</v>
      </c>
      <c r="AT44" s="39">
        <f t="shared" si="38"/>
        <v>0</v>
      </c>
      <c r="AU44" s="39">
        <f t="shared" si="38"/>
        <v>0</v>
      </c>
      <c r="AV44" s="39">
        <f t="shared" si="38"/>
        <v>0</v>
      </c>
      <c r="AW44" s="39">
        <f t="shared" si="38"/>
        <v>0</v>
      </c>
      <c r="AX44" s="39">
        <f t="shared" si="38"/>
        <v>0</v>
      </c>
      <c r="AY44" s="39">
        <f t="shared" si="38"/>
        <v>0</v>
      </c>
      <c r="AZ44" s="39">
        <f t="shared" si="38"/>
        <v>733.2</v>
      </c>
      <c r="BA44" s="39">
        <f t="shared" si="38"/>
        <v>733.2</v>
      </c>
      <c r="BB44" s="39">
        <f t="shared" si="38"/>
        <v>2263</v>
      </c>
      <c r="BC44" s="39">
        <f t="shared" si="38"/>
        <v>2263</v>
      </c>
      <c r="BD44" s="39">
        <f t="shared" si="38"/>
        <v>804.15</v>
      </c>
      <c r="BE44" s="39">
        <f t="shared" si="38"/>
        <v>803.598</v>
      </c>
      <c r="BF44" s="39">
        <f t="shared" si="38"/>
        <v>0</v>
      </c>
      <c r="BG44" s="39">
        <f t="shared" si="38"/>
        <v>0</v>
      </c>
      <c r="BH44" s="39">
        <f t="shared" si="38"/>
        <v>0</v>
      </c>
      <c r="BI44" s="39">
        <f t="shared" si="38"/>
        <v>0</v>
      </c>
      <c r="BJ44" s="39">
        <f t="shared" si="38"/>
        <v>716</v>
      </c>
      <c r="BK44" s="39">
        <f t="shared" si="38"/>
        <v>716</v>
      </c>
      <c r="BL44" s="39">
        <f t="shared" si="38"/>
        <v>11121</v>
      </c>
      <c r="BM44" s="39">
        <f t="shared" si="38"/>
        <v>1270.467</v>
      </c>
      <c r="BN44" s="39">
        <f t="shared" si="38"/>
        <v>633.6</v>
      </c>
      <c r="BO44" s="39">
        <f aca="true" t="shared" si="39" ref="BO44:DZ44">SUM(BO45:BO59)</f>
        <v>277.2</v>
      </c>
      <c r="BP44" s="39">
        <f t="shared" si="39"/>
        <v>0</v>
      </c>
      <c r="BQ44" s="39">
        <f t="shared" si="39"/>
        <v>0</v>
      </c>
      <c r="BR44" s="39">
        <f t="shared" si="39"/>
        <v>0</v>
      </c>
      <c r="BS44" s="39">
        <f t="shared" si="39"/>
        <v>0</v>
      </c>
      <c r="BT44" s="39">
        <f t="shared" si="39"/>
        <v>741.312</v>
      </c>
      <c r="BU44" s="39">
        <f t="shared" si="39"/>
        <v>741.312</v>
      </c>
      <c r="BV44" s="39">
        <f t="shared" si="39"/>
        <v>876.744</v>
      </c>
      <c r="BW44" s="39">
        <f t="shared" si="39"/>
        <v>365.904</v>
      </c>
      <c r="BX44" s="39">
        <f t="shared" si="39"/>
        <v>1200</v>
      </c>
      <c r="BY44" s="39">
        <f t="shared" si="39"/>
        <v>1029.862</v>
      </c>
      <c r="BZ44" s="39">
        <f t="shared" si="39"/>
        <v>0</v>
      </c>
      <c r="CA44" s="39">
        <f t="shared" si="39"/>
        <v>0</v>
      </c>
      <c r="CB44" s="39">
        <f t="shared" si="39"/>
        <v>4602.96</v>
      </c>
      <c r="CC44" s="39">
        <f t="shared" si="39"/>
        <v>4602.96</v>
      </c>
      <c r="CD44" s="39">
        <f t="shared" si="39"/>
        <v>0</v>
      </c>
      <c r="CE44" s="39">
        <f t="shared" si="39"/>
        <v>0</v>
      </c>
      <c r="CF44" s="39">
        <f t="shared" si="39"/>
        <v>20695.766000000003</v>
      </c>
      <c r="CG44" s="39">
        <f t="shared" si="39"/>
        <v>9807.303</v>
      </c>
      <c r="CH44" s="39">
        <f t="shared" si="39"/>
        <v>5095.03419</v>
      </c>
      <c r="CI44" s="39">
        <f t="shared" si="39"/>
        <v>5095.03419</v>
      </c>
      <c r="CJ44" s="39">
        <f t="shared" si="39"/>
        <v>1626.98884</v>
      </c>
      <c r="CK44" s="39">
        <f t="shared" si="39"/>
        <v>1626.98884</v>
      </c>
      <c r="CL44" s="39">
        <f t="shared" si="39"/>
        <v>0</v>
      </c>
      <c r="CM44" s="39">
        <f t="shared" si="39"/>
        <v>0</v>
      </c>
      <c r="CN44" s="39">
        <f t="shared" si="39"/>
        <v>0</v>
      </c>
      <c r="CO44" s="39">
        <f t="shared" si="39"/>
        <v>0</v>
      </c>
      <c r="CP44" s="39">
        <f t="shared" si="39"/>
        <v>206.402</v>
      </c>
      <c r="CQ44" s="39">
        <f t="shared" si="39"/>
        <v>206.402</v>
      </c>
      <c r="CR44" s="39">
        <f t="shared" si="39"/>
        <v>3388.46</v>
      </c>
      <c r="CS44" s="39">
        <f t="shared" si="39"/>
        <v>3388.46</v>
      </c>
      <c r="CT44" s="39">
        <f t="shared" si="39"/>
        <v>0</v>
      </c>
      <c r="CU44" s="39">
        <f t="shared" si="39"/>
        <v>0</v>
      </c>
      <c r="CV44" s="39">
        <f t="shared" si="39"/>
        <v>0</v>
      </c>
      <c r="CW44" s="39">
        <f t="shared" si="39"/>
        <v>0</v>
      </c>
      <c r="CX44" s="39">
        <f t="shared" si="39"/>
        <v>0</v>
      </c>
      <c r="CY44" s="39">
        <f t="shared" si="39"/>
        <v>0</v>
      </c>
      <c r="CZ44" s="39">
        <f t="shared" si="39"/>
        <v>128.34099999999998</v>
      </c>
      <c r="DA44" s="39">
        <f t="shared" si="39"/>
        <v>128.34099999999998</v>
      </c>
      <c r="DB44" s="39">
        <f t="shared" si="39"/>
        <v>0</v>
      </c>
      <c r="DC44" s="39">
        <f t="shared" si="39"/>
        <v>0</v>
      </c>
      <c r="DD44" s="39">
        <f t="shared" si="39"/>
        <v>0</v>
      </c>
      <c r="DE44" s="39">
        <f t="shared" si="39"/>
        <v>0</v>
      </c>
      <c r="DF44" s="39">
        <f t="shared" si="39"/>
        <v>10445.226030000002</v>
      </c>
      <c r="DG44" s="39">
        <f t="shared" si="39"/>
        <v>10445.226030000002</v>
      </c>
      <c r="DH44" s="39">
        <f t="shared" si="39"/>
        <v>650.91</v>
      </c>
      <c r="DI44" s="39">
        <f t="shared" si="39"/>
        <v>650.91</v>
      </c>
      <c r="DJ44" s="39">
        <f t="shared" si="39"/>
        <v>650.91</v>
      </c>
      <c r="DK44" s="39">
        <f t="shared" si="39"/>
        <v>650.91</v>
      </c>
      <c r="DL44" s="39">
        <f t="shared" si="39"/>
        <v>12270</v>
      </c>
      <c r="DM44" s="39">
        <f t="shared" si="39"/>
        <v>12270</v>
      </c>
      <c r="DN44" s="39">
        <f t="shared" si="39"/>
        <v>0</v>
      </c>
      <c r="DO44" s="39">
        <f t="shared" si="39"/>
        <v>0</v>
      </c>
      <c r="DP44" s="39">
        <f t="shared" si="39"/>
        <v>12270</v>
      </c>
      <c r="DQ44" s="39">
        <f t="shared" si="39"/>
        <v>12270</v>
      </c>
      <c r="DR44" s="39">
        <f t="shared" si="39"/>
        <v>0</v>
      </c>
      <c r="DS44" s="39">
        <f t="shared" si="39"/>
        <v>0</v>
      </c>
      <c r="DT44" s="39">
        <f t="shared" si="39"/>
        <v>0</v>
      </c>
      <c r="DU44" s="39">
        <f t="shared" si="39"/>
        <v>0</v>
      </c>
      <c r="DV44" s="39">
        <f t="shared" si="39"/>
        <v>0</v>
      </c>
      <c r="DW44" s="39">
        <f t="shared" si="39"/>
        <v>0</v>
      </c>
      <c r="DX44" s="39">
        <f t="shared" si="39"/>
        <v>0</v>
      </c>
      <c r="DY44" s="39">
        <f t="shared" si="39"/>
        <v>0</v>
      </c>
      <c r="DZ44" s="39">
        <f t="shared" si="39"/>
        <v>0</v>
      </c>
      <c r="EA44" s="39">
        <f aca="true" t="shared" si="40" ref="EA44:GL44">SUM(EA45:EA59)</f>
        <v>0</v>
      </c>
      <c r="EB44" s="39">
        <f t="shared" si="40"/>
        <v>0</v>
      </c>
      <c r="EC44" s="39">
        <f t="shared" si="40"/>
        <v>0</v>
      </c>
      <c r="ED44" s="39">
        <f t="shared" si="40"/>
        <v>85</v>
      </c>
      <c r="EE44" s="39">
        <f t="shared" si="40"/>
        <v>85</v>
      </c>
      <c r="EF44" s="39">
        <f t="shared" si="40"/>
        <v>6146.7</v>
      </c>
      <c r="EG44" s="39">
        <f t="shared" si="40"/>
        <v>5636.52074</v>
      </c>
      <c r="EH44" s="39">
        <f t="shared" si="40"/>
        <v>9236.1</v>
      </c>
      <c r="EI44" s="39">
        <f t="shared" si="40"/>
        <v>9236.1</v>
      </c>
      <c r="EJ44" s="39">
        <f t="shared" si="40"/>
        <v>1026</v>
      </c>
      <c r="EK44" s="39">
        <f t="shared" si="40"/>
        <v>889.43</v>
      </c>
      <c r="EL44" s="39">
        <f t="shared" si="40"/>
        <v>0</v>
      </c>
      <c r="EM44" s="39">
        <f t="shared" si="40"/>
        <v>0</v>
      </c>
      <c r="EN44" s="39">
        <f t="shared" si="40"/>
        <v>0</v>
      </c>
      <c r="EO44" s="39">
        <f t="shared" si="40"/>
        <v>0</v>
      </c>
      <c r="EP44" s="39">
        <f t="shared" si="40"/>
        <v>0</v>
      </c>
      <c r="EQ44" s="39">
        <f t="shared" si="40"/>
        <v>0</v>
      </c>
      <c r="ER44" s="39">
        <f t="shared" si="40"/>
        <v>0</v>
      </c>
      <c r="ES44" s="39">
        <f t="shared" si="40"/>
        <v>0</v>
      </c>
      <c r="ET44" s="39">
        <f t="shared" si="40"/>
        <v>0</v>
      </c>
      <c r="EU44" s="39">
        <f t="shared" si="40"/>
        <v>0</v>
      </c>
      <c r="EV44" s="39">
        <f t="shared" si="40"/>
        <v>33.5</v>
      </c>
      <c r="EW44" s="39">
        <f t="shared" si="40"/>
        <v>33.5</v>
      </c>
      <c r="EX44" s="39">
        <f t="shared" si="40"/>
        <v>200</v>
      </c>
      <c r="EY44" s="39">
        <f t="shared" si="40"/>
        <v>200</v>
      </c>
      <c r="EZ44" s="39">
        <f t="shared" si="40"/>
        <v>0</v>
      </c>
      <c r="FA44" s="39">
        <f t="shared" si="40"/>
        <v>0</v>
      </c>
      <c r="FB44" s="39">
        <f t="shared" si="40"/>
        <v>16727.3</v>
      </c>
      <c r="FC44" s="39">
        <f t="shared" si="40"/>
        <v>16080.55074</v>
      </c>
      <c r="FD44" s="39">
        <f t="shared" si="40"/>
        <v>342</v>
      </c>
      <c r="FE44" s="39">
        <f t="shared" si="40"/>
        <v>342</v>
      </c>
      <c r="FF44" s="39">
        <f t="shared" si="40"/>
        <v>45.29</v>
      </c>
      <c r="FG44" s="39">
        <f t="shared" si="40"/>
        <v>45.29</v>
      </c>
      <c r="FH44" s="39">
        <f t="shared" si="40"/>
        <v>387.29</v>
      </c>
      <c r="FI44" s="39">
        <f t="shared" si="40"/>
        <v>387.29</v>
      </c>
      <c r="FJ44" s="39">
        <f t="shared" si="40"/>
        <v>0</v>
      </c>
      <c r="FK44" s="39">
        <f t="shared" si="40"/>
        <v>0</v>
      </c>
      <c r="FL44" s="39">
        <f t="shared" si="40"/>
        <v>0</v>
      </c>
      <c r="FM44" s="39">
        <f t="shared" si="40"/>
        <v>0</v>
      </c>
      <c r="FN44" s="39">
        <f t="shared" si="40"/>
        <v>0</v>
      </c>
      <c r="FO44" s="39">
        <f t="shared" si="40"/>
        <v>0</v>
      </c>
      <c r="FP44" s="39">
        <f t="shared" si="40"/>
        <v>0</v>
      </c>
      <c r="FQ44" s="39">
        <f t="shared" si="40"/>
        <v>0</v>
      </c>
      <c r="FR44" s="39">
        <f t="shared" si="40"/>
        <v>0</v>
      </c>
      <c r="FS44" s="39">
        <f t="shared" si="40"/>
        <v>0</v>
      </c>
      <c r="FT44" s="39">
        <f t="shared" si="40"/>
        <v>2159.5</v>
      </c>
      <c r="FU44" s="39">
        <f t="shared" si="40"/>
        <v>2159.5</v>
      </c>
      <c r="FV44" s="39">
        <f t="shared" si="40"/>
        <v>515</v>
      </c>
      <c r="FW44" s="39">
        <f t="shared" si="40"/>
        <v>515</v>
      </c>
      <c r="FX44" s="39">
        <f t="shared" si="40"/>
        <v>19679</v>
      </c>
      <c r="FY44" s="39">
        <f t="shared" si="40"/>
        <v>19679</v>
      </c>
      <c r="FZ44" s="39">
        <f t="shared" si="40"/>
        <v>5470</v>
      </c>
      <c r="GA44" s="39">
        <f t="shared" si="40"/>
        <v>5470</v>
      </c>
      <c r="GB44" s="39">
        <f t="shared" si="40"/>
        <v>0</v>
      </c>
      <c r="GC44" s="39">
        <f t="shared" si="40"/>
        <v>0</v>
      </c>
      <c r="GD44" s="39">
        <f t="shared" si="40"/>
        <v>8019.9</v>
      </c>
      <c r="GE44" s="39">
        <f t="shared" si="40"/>
        <v>8019.9</v>
      </c>
      <c r="GF44" s="39">
        <f t="shared" si="40"/>
        <v>1475.9</v>
      </c>
      <c r="GG44" s="39">
        <f t="shared" si="40"/>
        <v>1475.9</v>
      </c>
      <c r="GH44" s="39">
        <f t="shared" si="40"/>
        <v>631.9</v>
      </c>
      <c r="GI44" s="39">
        <f t="shared" si="40"/>
        <v>631.9</v>
      </c>
      <c r="GJ44" s="39">
        <f t="shared" si="40"/>
        <v>62849</v>
      </c>
      <c r="GK44" s="39">
        <f t="shared" si="40"/>
        <v>62849</v>
      </c>
      <c r="GL44" s="39">
        <f t="shared" si="40"/>
        <v>223094.2</v>
      </c>
      <c r="GM44" s="39">
        <f aca="true" t="shared" si="41" ref="GM44:HY44">SUM(GM45:GM59)</f>
        <v>223094.2</v>
      </c>
      <c r="GN44" s="39">
        <f t="shared" si="41"/>
        <v>0</v>
      </c>
      <c r="GO44" s="39">
        <f t="shared" si="41"/>
        <v>0</v>
      </c>
      <c r="GP44" s="39">
        <f t="shared" si="41"/>
        <v>7054.6</v>
      </c>
      <c r="GQ44" s="39">
        <f t="shared" si="41"/>
        <v>7054.6</v>
      </c>
      <c r="GR44" s="39">
        <f t="shared" si="41"/>
        <v>1156</v>
      </c>
      <c r="GS44" s="39">
        <f t="shared" si="41"/>
        <v>1156</v>
      </c>
      <c r="GT44" s="39">
        <f t="shared" si="41"/>
        <v>540</v>
      </c>
      <c r="GU44" s="39">
        <f t="shared" si="41"/>
        <v>540</v>
      </c>
      <c r="GV44" s="39">
        <f t="shared" si="41"/>
        <v>12922</v>
      </c>
      <c r="GW44" s="39">
        <f t="shared" si="41"/>
        <v>12922</v>
      </c>
      <c r="GX44" s="138">
        <f t="shared" si="41"/>
        <v>3309.9</v>
      </c>
      <c r="GY44" s="138">
        <f t="shared" si="41"/>
        <v>3309.9</v>
      </c>
      <c r="GZ44" s="39">
        <f t="shared" si="41"/>
        <v>50</v>
      </c>
      <c r="HA44" s="39">
        <f t="shared" si="41"/>
        <v>50</v>
      </c>
      <c r="HB44" s="39">
        <f t="shared" si="41"/>
        <v>398.6</v>
      </c>
      <c r="HC44" s="39">
        <f t="shared" si="41"/>
        <v>398.6</v>
      </c>
      <c r="HD44" s="39">
        <f t="shared" si="41"/>
        <v>349325.5</v>
      </c>
      <c r="HE44" s="39">
        <f t="shared" si="41"/>
        <v>349325.5</v>
      </c>
      <c r="HF44" s="39">
        <f t="shared" si="41"/>
        <v>0</v>
      </c>
      <c r="HG44" s="39">
        <f t="shared" si="41"/>
        <v>0</v>
      </c>
      <c r="HH44" s="39">
        <f t="shared" si="41"/>
        <v>0</v>
      </c>
      <c r="HI44" s="39">
        <f t="shared" si="41"/>
        <v>0</v>
      </c>
      <c r="HJ44" s="39">
        <f t="shared" si="41"/>
        <v>0</v>
      </c>
      <c r="HK44" s="39">
        <f t="shared" si="41"/>
        <v>0</v>
      </c>
      <c r="HL44" s="39">
        <f t="shared" si="41"/>
        <v>0</v>
      </c>
      <c r="HM44" s="39">
        <f t="shared" si="41"/>
        <v>0</v>
      </c>
      <c r="HN44" s="39">
        <f t="shared" si="41"/>
        <v>0</v>
      </c>
      <c r="HO44" s="39">
        <f t="shared" si="41"/>
        <v>0</v>
      </c>
      <c r="HP44" s="39">
        <f t="shared" si="41"/>
        <v>0</v>
      </c>
      <c r="HQ44" s="39">
        <f t="shared" si="41"/>
        <v>0</v>
      </c>
      <c r="HR44" s="39">
        <f t="shared" si="41"/>
        <v>0</v>
      </c>
      <c r="HS44" s="39">
        <f t="shared" si="41"/>
        <v>0</v>
      </c>
      <c r="HT44" s="39">
        <f t="shared" si="41"/>
        <v>350</v>
      </c>
      <c r="HU44" s="39">
        <f t="shared" si="41"/>
        <v>335</v>
      </c>
      <c r="HV44" s="39">
        <f t="shared" si="41"/>
        <v>10.707</v>
      </c>
      <c r="HW44" s="39">
        <f t="shared" si="41"/>
        <v>10.707</v>
      </c>
      <c r="HX44" s="39">
        <f t="shared" si="41"/>
        <v>360.707</v>
      </c>
      <c r="HY44" s="39">
        <f t="shared" si="41"/>
        <v>345.707</v>
      </c>
    </row>
    <row r="45" spans="1:233" ht="12.75">
      <c r="A45" s="12" t="s">
        <v>156</v>
      </c>
      <c r="B45" s="39">
        <f>11552+7701+9627+5776+9627+9627+9626+9627+9627+9626+7701.3+7701.4+7701.3</f>
        <v>115520</v>
      </c>
      <c r="C45" s="39">
        <f>11552+7701+9627+5776+9627+9627+9626+9627+9627+9626+7701.3+7701.4+7701.3</f>
        <v>115520</v>
      </c>
      <c r="D45" s="39"/>
      <c r="E45" s="39"/>
      <c r="F45" s="39">
        <f>10742+7162+8951+5371+8952+4789+2733+7522+7522+7522+4789+2733+7521+5872.404+7620.3+7620.296</f>
        <v>107422</v>
      </c>
      <c r="G45" s="39">
        <f>10742+7162+8951+5371+8952+4789+2733+7522+7522+7522+4789+2733+7521+5872.404+7620.3+7620.296</f>
        <v>107422</v>
      </c>
      <c r="H45" s="39"/>
      <c r="I45" s="39"/>
      <c r="J45" s="39">
        <v>9500</v>
      </c>
      <c r="K45" s="39">
        <v>9500</v>
      </c>
      <c r="L45" s="34"/>
      <c r="M45" s="34"/>
      <c r="N45" s="34"/>
      <c r="O45" s="34"/>
      <c r="P45" s="34"/>
      <c r="Q45" s="34"/>
      <c r="R45" s="39"/>
      <c r="S45" s="39"/>
      <c r="T45" s="39">
        <v>6007</v>
      </c>
      <c r="U45" s="39">
        <v>6007</v>
      </c>
      <c r="V45" s="39"/>
      <c r="W45" s="34"/>
      <c r="X45" s="34"/>
      <c r="Y45" s="34"/>
      <c r="Z45" s="34"/>
      <c r="AA45" s="34"/>
      <c r="AB45" s="34"/>
      <c r="AC45" s="34"/>
      <c r="AD45" s="39">
        <v>9819</v>
      </c>
      <c r="AE45" s="39">
        <v>9819</v>
      </c>
      <c r="AF45" s="39"/>
      <c r="AG45" s="48"/>
      <c r="AH45" s="126">
        <f t="shared" si="5"/>
        <v>248268</v>
      </c>
      <c r="AI45" s="126">
        <f t="shared" si="6"/>
        <v>248268</v>
      </c>
      <c r="AJ45" s="43">
        <v>333.2</v>
      </c>
      <c r="AK45" s="43">
        <v>333.2</v>
      </c>
      <c r="AL45" s="134"/>
      <c r="AM45" s="41"/>
      <c r="AN45" s="41">
        <v>400</v>
      </c>
      <c r="AO45" s="41">
        <v>400</v>
      </c>
      <c r="AP45" s="41"/>
      <c r="AQ45" s="41"/>
      <c r="AR45" s="39"/>
      <c r="AS45" s="39"/>
      <c r="AT45" s="43"/>
      <c r="AU45" s="43"/>
      <c r="AV45" s="43"/>
      <c r="AW45" s="43"/>
      <c r="AX45" s="43"/>
      <c r="AY45" s="43"/>
      <c r="AZ45" s="39">
        <f t="shared" si="7"/>
        <v>733.2</v>
      </c>
      <c r="BA45" s="39">
        <f t="shared" si="8"/>
        <v>733.2</v>
      </c>
      <c r="BB45" s="39">
        <v>2263</v>
      </c>
      <c r="BC45" s="39">
        <v>2263</v>
      </c>
      <c r="BD45" s="39"/>
      <c r="BE45" s="43"/>
      <c r="BF45" s="43"/>
      <c r="BG45" s="43"/>
      <c r="BH45" s="43"/>
      <c r="BI45" s="43"/>
      <c r="BJ45" s="43">
        <v>716</v>
      </c>
      <c r="BK45" s="43">
        <v>716</v>
      </c>
      <c r="BL45" s="43">
        <v>11121</v>
      </c>
      <c r="BM45" s="43">
        <v>1270.467</v>
      </c>
      <c r="BN45" s="43">
        <v>633.6</v>
      </c>
      <c r="BO45" s="43">
        <v>277.2</v>
      </c>
      <c r="BP45" s="43"/>
      <c r="BQ45" s="43"/>
      <c r="BR45" s="43"/>
      <c r="BS45" s="43"/>
      <c r="BT45" s="43">
        <v>741.312</v>
      </c>
      <c r="BU45" s="43">
        <v>741.312</v>
      </c>
      <c r="BV45" s="43">
        <v>876.744</v>
      </c>
      <c r="BW45" s="43">
        <v>365.904</v>
      </c>
      <c r="BX45" s="43">
        <v>1200</v>
      </c>
      <c r="BY45" s="43">
        <v>1029.862</v>
      </c>
      <c r="BZ45" s="43"/>
      <c r="CA45" s="43"/>
      <c r="CB45" s="39">
        <v>4602.96</v>
      </c>
      <c r="CC45" s="39">
        <v>4602.96</v>
      </c>
      <c r="CD45" s="43"/>
      <c r="CE45" s="43"/>
      <c r="CF45" s="39">
        <f t="shared" si="9"/>
        <v>19891.616</v>
      </c>
      <c r="CG45" s="39">
        <f t="shared" si="10"/>
        <v>9003.705</v>
      </c>
      <c r="CH45" s="39"/>
      <c r="CI45" s="39"/>
      <c r="CJ45" s="39"/>
      <c r="CK45" s="45"/>
      <c r="CL45" s="45"/>
      <c r="CM45" s="43"/>
      <c r="CN45" s="43"/>
      <c r="CO45" s="43"/>
      <c r="CP45" s="43"/>
      <c r="CQ45" s="39"/>
      <c r="CR45" s="43">
        <v>1201.08</v>
      </c>
      <c r="CS45" s="43">
        <v>1201.08</v>
      </c>
      <c r="CT45" s="43"/>
      <c r="CU45" s="43"/>
      <c r="CV45" s="43"/>
      <c r="CW45" s="43"/>
      <c r="CX45" s="43"/>
      <c r="CY45" s="43"/>
      <c r="CZ45" s="39"/>
      <c r="DA45" s="45"/>
      <c r="DB45" s="45"/>
      <c r="DC45" s="45"/>
      <c r="DD45" s="45"/>
      <c r="DE45" s="45"/>
      <c r="DF45" s="39">
        <f t="shared" si="11"/>
        <v>1201.08</v>
      </c>
      <c r="DG45" s="39">
        <f t="shared" si="12"/>
        <v>1201.08</v>
      </c>
      <c r="DH45" s="39">
        <v>650.91</v>
      </c>
      <c r="DI45" s="39">
        <v>650.91</v>
      </c>
      <c r="DJ45" s="39">
        <v>650.91</v>
      </c>
      <c r="DK45" s="39">
        <f t="shared" si="13"/>
        <v>650.91</v>
      </c>
      <c r="DL45" s="39">
        <f>10502.2+1767.8</f>
        <v>12270</v>
      </c>
      <c r="DM45" s="39">
        <f>10502.2+1767.8</f>
        <v>12270</v>
      </c>
      <c r="DN45" s="43"/>
      <c r="DO45" s="43"/>
      <c r="DP45" s="39">
        <f t="shared" si="14"/>
        <v>12270</v>
      </c>
      <c r="DQ45" s="39">
        <f t="shared" si="15"/>
        <v>12270</v>
      </c>
      <c r="DR45" s="39"/>
      <c r="DS45" s="39"/>
      <c r="DT45" s="43"/>
      <c r="DU45" s="43"/>
      <c r="DV45" s="43"/>
      <c r="DW45" s="43"/>
      <c r="DX45" s="43"/>
      <c r="DY45" s="43"/>
      <c r="DZ45" s="39"/>
      <c r="EA45" s="39"/>
      <c r="EB45" s="43"/>
      <c r="EC45" s="43"/>
      <c r="ED45" s="43">
        <v>85</v>
      </c>
      <c r="EE45" s="43">
        <v>85</v>
      </c>
      <c r="EF45" s="39">
        <v>3120</v>
      </c>
      <c r="EG45" s="43">
        <v>2717.4928</v>
      </c>
      <c r="EH45" s="43">
        <v>397.9</v>
      </c>
      <c r="EI45" s="39">
        <v>397.9</v>
      </c>
      <c r="EJ45" s="39">
        <v>81</v>
      </c>
      <c r="EK45" s="43">
        <v>81</v>
      </c>
      <c r="EL45" s="43"/>
      <c r="EM45" s="43"/>
      <c r="EN45" s="45"/>
      <c r="EO45" s="45"/>
      <c r="EP45" s="43"/>
      <c r="EQ45" s="43"/>
      <c r="ER45" s="43"/>
      <c r="ES45" s="43"/>
      <c r="ET45" s="135"/>
      <c r="EU45" s="135"/>
      <c r="EV45" s="135">
        <v>33.5</v>
      </c>
      <c r="EW45" s="135">
        <v>33.5</v>
      </c>
      <c r="EX45" s="43"/>
      <c r="EY45" s="43"/>
      <c r="EZ45" s="43"/>
      <c r="FA45" s="43"/>
      <c r="FB45" s="37">
        <f t="shared" si="16"/>
        <v>3717.4</v>
      </c>
      <c r="FC45" s="37">
        <f t="shared" si="17"/>
        <v>3314.8928</v>
      </c>
      <c r="FD45" s="39">
        <v>342</v>
      </c>
      <c r="FE45" s="39">
        <v>342</v>
      </c>
      <c r="FF45" s="43">
        <v>45.29</v>
      </c>
      <c r="FG45" s="43">
        <v>45.29</v>
      </c>
      <c r="FH45" s="132">
        <f t="shared" si="18"/>
        <v>387.29</v>
      </c>
      <c r="FI45" s="132">
        <f t="shared" si="19"/>
        <v>387.29</v>
      </c>
      <c r="FJ45" s="39"/>
      <c r="FK45" s="39"/>
      <c r="FL45" s="43"/>
      <c r="FM45" s="43"/>
      <c r="FN45" s="43"/>
      <c r="FO45" s="43"/>
      <c r="FP45" s="43"/>
      <c r="FQ45" s="43"/>
      <c r="FR45" s="39"/>
      <c r="FS45" s="135"/>
      <c r="FT45" s="43">
        <v>2159.5</v>
      </c>
      <c r="FU45" s="43">
        <v>2159.5</v>
      </c>
      <c r="FV45" s="43">
        <v>515</v>
      </c>
      <c r="FW45" s="43">
        <v>515</v>
      </c>
      <c r="FX45" s="43">
        <v>19679</v>
      </c>
      <c r="FY45" s="43">
        <v>19679</v>
      </c>
      <c r="FZ45" s="43">
        <v>5470</v>
      </c>
      <c r="GA45" s="43">
        <v>5470</v>
      </c>
      <c r="GB45" s="43"/>
      <c r="GC45" s="43"/>
      <c r="GD45" s="135">
        <v>8019.9</v>
      </c>
      <c r="GE45" s="135">
        <v>8019.9</v>
      </c>
      <c r="GF45" s="43">
        <v>1475.9</v>
      </c>
      <c r="GG45" s="43">
        <v>1475.9</v>
      </c>
      <c r="GH45" s="43">
        <v>631.9</v>
      </c>
      <c r="GI45" s="43">
        <v>631.9</v>
      </c>
      <c r="GJ45" s="43">
        <v>62849</v>
      </c>
      <c r="GK45" s="43">
        <v>62849</v>
      </c>
      <c r="GL45" s="43">
        <v>223094.2</v>
      </c>
      <c r="GM45" s="43">
        <v>223094.2</v>
      </c>
      <c r="GN45" s="43"/>
      <c r="GO45" s="43"/>
      <c r="GP45" s="43">
        <v>7054.6</v>
      </c>
      <c r="GQ45" s="43">
        <v>7054.6</v>
      </c>
      <c r="GR45" s="43">
        <v>1156</v>
      </c>
      <c r="GS45" s="43">
        <v>1156</v>
      </c>
      <c r="GT45" s="43">
        <v>540</v>
      </c>
      <c r="GU45" s="43">
        <v>540</v>
      </c>
      <c r="GV45" s="43">
        <v>12922</v>
      </c>
      <c r="GW45" s="43">
        <v>12922</v>
      </c>
      <c r="GX45" s="43">
        <v>3309.9</v>
      </c>
      <c r="GY45" s="43">
        <v>3309.9</v>
      </c>
      <c r="GZ45" s="43">
        <v>50</v>
      </c>
      <c r="HA45" s="43">
        <v>50</v>
      </c>
      <c r="HB45" s="43">
        <v>398.6</v>
      </c>
      <c r="HC45" s="43">
        <v>398.6</v>
      </c>
      <c r="HD45" s="39">
        <f t="shared" si="20"/>
        <v>349325.5</v>
      </c>
      <c r="HE45" s="39">
        <f t="shared" si="21"/>
        <v>349325.5</v>
      </c>
      <c r="HF45" s="39"/>
      <c r="HG45" s="39"/>
      <c r="HH45" s="39"/>
      <c r="HI45" s="43"/>
      <c r="HJ45" s="43"/>
      <c r="HK45" s="43"/>
      <c r="HL45" s="43"/>
      <c r="HM45" s="43"/>
      <c r="HN45" s="136"/>
      <c r="HO45" s="136"/>
      <c r="HP45" s="39">
        <f t="shared" si="22"/>
        <v>0</v>
      </c>
      <c r="HQ45" s="39">
        <f t="shared" si="23"/>
        <v>0</v>
      </c>
      <c r="HR45" s="39"/>
      <c r="HS45" s="39"/>
      <c r="HT45" s="39">
        <v>350</v>
      </c>
      <c r="HU45" s="43">
        <v>335</v>
      </c>
      <c r="HV45" s="39">
        <v>10.707</v>
      </c>
      <c r="HW45" s="39">
        <v>10.707</v>
      </c>
      <c r="HX45" s="39">
        <f t="shared" si="24"/>
        <v>360.707</v>
      </c>
      <c r="HY45" s="39">
        <f t="shared" si="25"/>
        <v>345.707</v>
      </c>
    </row>
    <row r="46" spans="1:233" ht="12.75" customHeight="1">
      <c r="A46" s="15" t="s">
        <v>144</v>
      </c>
      <c r="B46" s="39"/>
      <c r="C46" s="39"/>
      <c r="D46" s="39">
        <f>110+110+109+91+91+92+91+91+92+73+73+73</f>
        <v>1096</v>
      </c>
      <c r="E46" s="39">
        <f>110+110+109+91+91+92+91+91+92+73+73+73</f>
        <v>1096</v>
      </c>
      <c r="F46" s="39"/>
      <c r="G46" s="39"/>
      <c r="H46" s="39"/>
      <c r="I46" s="39"/>
      <c r="J46" s="39"/>
      <c r="K46" s="39"/>
      <c r="L46" s="34"/>
      <c r="M46" s="34"/>
      <c r="N46" s="34"/>
      <c r="O46" s="34"/>
      <c r="P46" s="34"/>
      <c r="Q46" s="34"/>
      <c r="R46" s="39"/>
      <c r="S46" s="39"/>
      <c r="T46" s="39">
        <v>1216.3597</v>
      </c>
      <c r="U46" s="39">
        <f>121.31432+1095.04538</f>
        <v>1216.3597</v>
      </c>
      <c r="V46" s="39"/>
      <c r="W46" s="34"/>
      <c r="X46" s="34"/>
      <c r="Y46" s="34"/>
      <c r="Z46" s="34"/>
      <c r="AA46" s="34"/>
      <c r="AB46" s="34"/>
      <c r="AC46" s="34"/>
      <c r="AD46" s="39">
        <v>2088</v>
      </c>
      <c r="AE46" s="39">
        <v>2088</v>
      </c>
      <c r="AF46" s="39">
        <v>147</v>
      </c>
      <c r="AG46" s="39">
        <f>12.3+12.3+12.3+12.3+12.3+0.5+18+7.1+9.6+11.7+12+26.6</f>
        <v>147</v>
      </c>
      <c r="AH46" s="126">
        <f t="shared" si="5"/>
        <v>4547.3597</v>
      </c>
      <c r="AI46" s="126">
        <f t="shared" si="6"/>
        <v>4547.3597</v>
      </c>
      <c r="AJ46" s="43"/>
      <c r="AK46" s="43"/>
      <c r="AL46" s="134"/>
      <c r="AM46" s="41"/>
      <c r="AN46" s="41"/>
      <c r="AO46" s="41"/>
      <c r="AP46" s="41"/>
      <c r="AQ46" s="41"/>
      <c r="AR46" s="39"/>
      <c r="AS46" s="39"/>
      <c r="AT46" s="43"/>
      <c r="AU46" s="43"/>
      <c r="AV46" s="43"/>
      <c r="AW46" s="43"/>
      <c r="AX46" s="43"/>
      <c r="AY46" s="43"/>
      <c r="AZ46" s="39">
        <f t="shared" si="7"/>
        <v>0</v>
      </c>
      <c r="BA46" s="39">
        <f t="shared" si="8"/>
        <v>0</v>
      </c>
      <c r="BB46" s="39">
        <v>0</v>
      </c>
      <c r="BC46" s="39">
        <v>0</v>
      </c>
      <c r="BD46" s="39"/>
      <c r="BE46" s="43"/>
      <c r="BF46" s="43"/>
      <c r="BG46" s="43"/>
      <c r="BH46" s="43"/>
      <c r="BI46" s="43"/>
      <c r="BJ46" s="43"/>
      <c r="BK46" s="43"/>
      <c r="BL46" s="43"/>
      <c r="BM46" s="43"/>
      <c r="BN46" s="45"/>
      <c r="BO46" s="45"/>
      <c r="BP46" s="45"/>
      <c r="BQ46" s="45"/>
      <c r="BR46" s="43"/>
      <c r="BS46" s="43"/>
      <c r="BT46" s="43"/>
      <c r="BU46" s="43"/>
      <c r="BV46" s="45"/>
      <c r="BW46" s="45"/>
      <c r="BX46" s="43"/>
      <c r="BY46" s="45"/>
      <c r="BZ46" s="43"/>
      <c r="CA46" s="45"/>
      <c r="CB46" s="45"/>
      <c r="CC46" s="45"/>
      <c r="CD46" s="45"/>
      <c r="CE46" s="45"/>
      <c r="CF46" s="39">
        <f t="shared" si="9"/>
        <v>0</v>
      </c>
      <c r="CG46" s="39">
        <f t="shared" si="10"/>
        <v>0</v>
      </c>
      <c r="CH46" s="39"/>
      <c r="CI46" s="39"/>
      <c r="CJ46" s="39"/>
      <c r="CK46" s="45"/>
      <c r="CL46" s="45"/>
      <c r="CM46" s="43"/>
      <c r="CN46" s="43"/>
      <c r="CO46" s="43"/>
      <c r="CP46" s="43"/>
      <c r="CQ46" s="39"/>
      <c r="CR46" s="43"/>
      <c r="CS46" s="45"/>
      <c r="CT46" s="45"/>
      <c r="CU46" s="43"/>
      <c r="CV46" s="43"/>
      <c r="CW46" s="43"/>
      <c r="CX46" s="43"/>
      <c r="CY46" s="43"/>
      <c r="CZ46" s="39"/>
      <c r="DA46" s="45"/>
      <c r="DB46" s="45"/>
      <c r="DC46" s="45"/>
      <c r="DD46" s="45"/>
      <c r="DE46" s="45"/>
      <c r="DF46" s="39">
        <f t="shared" si="11"/>
        <v>0</v>
      </c>
      <c r="DG46" s="39">
        <f t="shared" si="12"/>
        <v>0</v>
      </c>
      <c r="DH46" s="39"/>
      <c r="DI46" s="39"/>
      <c r="DJ46" s="39">
        <v>0</v>
      </c>
      <c r="DK46" s="39">
        <f t="shared" si="13"/>
        <v>0</v>
      </c>
      <c r="DL46" s="39"/>
      <c r="DM46" s="39"/>
      <c r="DN46" s="43"/>
      <c r="DO46" s="43"/>
      <c r="DP46" s="39">
        <f t="shared" si="14"/>
        <v>0</v>
      </c>
      <c r="DQ46" s="39">
        <f t="shared" si="15"/>
        <v>0</v>
      </c>
      <c r="DR46" s="39"/>
      <c r="DS46" s="39"/>
      <c r="DT46" s="43"/>
      <c r="DU46" s="43"/>
      <c r="DV46" s="43"/>
      <c r="DW46" s="43"/>
      <c r="DX46" s="43"/>
      <c r="DY46" s="43"/>
      <c r="DZ46" s="39"/>
      <c r="EA46" s="39"/>
      <c r="EB46" s="43"/>
      <c r="EC46" s="43"/>
      <c r="ED46" s="43"/>
      <c r="EE46" s="43"/>
      <c r="EF46" s="39">
        <v>1430</v>
      </c>
      <c r="EG46" s="43">
        <v>1430</v>
      </c>
      <c r="EH46" s="43">
        <v>465</v>
      </c>
      <c r="EI46" s="39">
        <v>465</v>
      </c>
      <c r="EJ46" s="39"/>
      <c r="EK46" s="43"/>
      <c r="EL46" s="43"/>
      <c r="EM46" s="43"/>
      <c r="EN46" s="45"/>
      <c r="EO46" s="45"/>
      <c r="EP46" s="43"/>
      <c r="EQ46" s="43"/>
      <c r="ER46" s="43"/>
      <c r="ES46" s="43"/>
      <c r="ET46" s="135"/>
      <c r="EU46" s="135"/>
      <c r="EV46" s="135"/>
      <c r="EW46" s="135"/>
      <c r="EX46" s="43"/>
      <c r="EY46" s="43"/>
      <c r="EZ46" s="43"/>
      <c r="FA46" s="43"/>
      <c r="FB46" s="37">
        <f t="shared" si="16"/>
        <v>1895</v>
      </c>
      <c r="FC46" s="37">
        <f t="shared" si="17"/>
        <v>1895</v>
      </c>
      <c r="FD46" s="39"/>
      <c r="FE46" s="39"/>
      <c r="FF46" s="43"/>
      <c r="FG46" s="43"/>
      <c r="FH46" s="132">
        <f t="shared" si="18"/>
        <v>0</v>
      </c>
      <c r="FI46" s="132">
        <f t="shared" si="19"/>
        <v>0</v>
      </c>
      <c r="FJ46" s="39"/>
      <c r="FK46" s="39"/>
      <c r="FL46" s="43"/>
      <c r="FM46" s="43"/>
      <c r="FN46" s="43"/>
      <c r="FO46" s="43"/>
      <c r="FP46" s="43"/>
      <c r="FQ46" s="43"/>
      <c r="FR46" s="39"/>
      <c r="FS46" s="135"/>
      <c r="FT46" s="43"/>
      <c r="FU46" s="43"/>
      <c r="FV46" s="43"/>
      <c r="FW46" s="43"/>
      <c r="FX46" s="43"/>
      <c r="FY46" s="43"/>
      <c r="FZ46" s="43"/>
      <c r="GA46" s="43"/>
      <c r="GB46" s="43"/>
      <c r="GC46" s="43"/>
      <c r="GD46" s="135"/>
      <c r="GE46" s="135"/>
      <c r="GF46" s="43"/>
      <c r="GG46" s="43"/>
      <c r="GH46" s="43"/>
      <c r="GI46" s="43"/>
      <c r="GJ46" s="43"/>
      <c r="GK46" s="43"/>
      <c r="GL46" s="43"/>
      <c r="GM46" s="43"/>
      <c r="GN46" s="43"/>
      <c r="GO46" s="43"/>
      <c r="GP46" s="43"/>
      <c r="GQ46" s="43"/>
      <c r="GR46" s="43"/>
      <c r="GS46" s="43"/>
      <c r="GT46" s="43"/>
      <c r="GU46" s="43"/>
      <c r="GV46" s="43"/>
      <c r="GW46" s="43"/>
      <c r="GX46" s="45"/>
      <c r="GY46" s="45"/>
      <c r="GZ46" s="43"/>
      <c r="HA46" s="43"/>
      <c r="HB46" s="43"/>
      <c r="HC46" s="43"/>
      <c r="HD46" s="39">
        <f t="shared" si="20"/>
        <v>0</v>
      </c>
      <c r="HE46" s="39">
        <f t="shared" si="21"/>
        <v>0</v>
      </c>
      <c r="HF46" s="39"/>
      <c r="HG46" s="39"/>
      <c r="HH46" s="39"/>
      <c r="HI46" s="43"/>
      <c r="HJ46" s="43"/>
      <c r="HK46" s="43"/>
      <c r="HL46" s="43"/>
      <c r="HM46" s="43"/>
      <c r="HN46" s="136"/>
      <c r="HO46" s="136"/>
      <c r="HP46" s="39">
        <f t="shared" si="22"/>
        <v>0</v>
      </c>
      <c r="HQ46" s="39">
        <f t="shared" si="23"/>
        <v>0</v>
      </c>
      <c r="HR46" s="39"/>
      <c r="HS46" s="39"/>
      <c r="HT46" s="39"/>
      <c r="HU46" s="43"/>
      <c r="HV46" s="39"/>
      <c r="HW46" s="39"/>
      <c r="HX46" s="39">
        <f t="shared" si="24"/>
        <v>0</v>
      </c>
      <c r="HY46" s="39">
        <f t="shared" si="25"/>
        <v>0</v>
      </c>
    </row>
    <row r="47" spans="1:233" ht="12.75">
      <c r="A47" s="15" t="s">
        <v>143</v>
      </c>
      <c r="B47" s="39"/>
      <c r="C47" s="39"/>
      <c r="D47" s="39">
        <f>265+265+264+220+220+221+220+220+221+176.7+176.7+176.6</f>
        <v>2645.9999999999995</v>
      </c>
      <c r="E47" s="39">
        <f>265+265+264+220+220+221+220+220+221+176.7+176.7+176.6</f>
        <v>2645.9999999999995</v>
      </c>
      <c r="F47" s="39"/>
      <c r="G47" s="39"/>
      <c r="H47" s="39"/>
      <c r="I47" s="39"/>
      <c r="J47" s="39"/>
      <c r="K47" s="39"/>
      <c r="L47" s="34"/>
      <c r="M47" s="34"/>
      <c r="N47" s="34"/>
      <c r="O47" s="34"/>
      <c r="P47" s="34"/>
      <c r="Q47" s="34"/>
      <c r="R47" s="39">
        <v>180</v>
      </c>
      <c r="S47" s="39">
        <f>178.75002</f>
        <v>178.75002</v>
      </c>
      <c r="T47" s="39">
        <v>1376.42517</v>
      </c>
      <c r="U47" s="39">
        <f>80.82517+1295.6</f>
        <v>1376.42517</v>
      </c>
      <c r="V47" s="39"/>
      <c r="W47" s="39"/>
      <c r="X47" s="34"/>
      <c r="Y47" s="34"/>
      <c r="Z47" s="34"/>
      <c r="AA47" s="34"/>
      <c r="AB47" s="34"/>
      <c r="AC47" s="34"/>
      <c r="AD47" s="39"/>
      <c r="AE47" s="39"/>
      <c r="AF47" s="39">
        <v>147</v>
      </c>
      <c r="AG47" s="39">
        <f>12.3+12.3+12.3+12.3+12.3+11.8+20.4+11.6+11.6+12+18.1</f>
        <v>146.99999999999997</v>
      </c>
      <c r="AH47" s="126">
        <f t="shared" si="5"/>
        <v>4349.4251699999995</v>
      </c>
      <c r="AI47" s="126">
        <f aca="true" t="shared" si="42" ref="AI47:AI78">C47+E47+G47+I47+K47+M47+O47+Q47+S47+U47+W47+Y47+AA47+AC47+AE47+AG47</f>
        <v>4348.17519</v>
      </c>
      <c r="AJ47" s="43"/>
      <c r="AK47" s="43"/>
      <c r="AL47" s="134"/>
      <c r="AM47" s="41"/>
      <c r="AN47" s="41"/>
      <c r="AO47" s="41"/>
      <c r="AP47" s="41"/>
      <c r="AQ47" s="41"/>
      <c r="AR47" s="39"/>
      <c r="AS47" s="39"/>
      <c r="AT47" s="43"/>
      <c r="AU47" s="43"/>
      <c r="AV47" s="43"/>
      <c r="AW47" s="43"/>
      <c r="AX47" s="43"/>
      <c r="AY47" s="43"/>
      <c r="AZ47" s="39">
        <f t="shared" si="7"/>
        <v>0</v>
      </c>
      <c r="BA47" s="39">
        <f t="shared" si="8"/>
        <v>0</v>
      </c>
      <c r="BB47" s="39">
        <v>0</v>
      </c>
      <c r="BC47" s="39">
        <v>0</v>
      </c>
      <c r="BD47" s="39"/>
      <c r="BE47" s="43"/>
      <c r="BF47" s="43"/>
      <c r="BG47" s="43"/>
      <c r="BH47" s="43"/>
      <c r="BI47" s="43"/>
      <c r="BJ47" s="43"/>
      <c r="BK47" s="43"/>
      <c r="BL47" s="43"/>
      <c r="BM47" s="43"/>
      <c r="BN47" s="45"/>
      <c r="BO47" s="45"/>
      <c r="BP47" s="45"/>
      <c r="BQ47" s="45"/>
      <c r="BR47" s="43"/>
      <c r="BS47" s="43"/>
      <c r="BT47" s="43"/>
      <c r="BU47" s="43"/>
      <c r="BV47" s="45"/>
      <c r="BW47" s="45"/>
      <c r="BX47" s="43"/>
      <c r="BY47" s="45"/>
      <c r="BZ47" s="43"/>
      <c r="CA47" s="45"/>
      <c r="CB47" s="45"/>
      <c r="CC47" s="45"/>
      <c r="CD47" s="45"/>
      <c r="CE47" s="45"/>
      <c r="CF47" s="39">
        <f t="shared" si="9"/>
        <v>0</v>
      </c>
      <c r="CG47" s="39">
        <f aca="true" t="shared" si="43" ref="CG47:CG78">BE47+BG47+BI47+BK47+BM47+BO47+BQ47+BS47+BU47+BW47+BY47+CC47+CE47+CA47</f>
        <v>0</v>
      </c>
      <c r="CH47" s="39"/>
      <c r="CI47" s="39"/>
      <c r="CJ47" s="39"/>
      <c r="CK47" s="45"/>
      <c r="CL47" s="45"/>
      <c r="CM47" s="43"/>
      <c r="CN47" s="43"/>
      <c r="CO47" s="43"/>
      <c r="CP47" s="43"/>
      <c r="CQ47" s="39"/>
      <c r="CR47" s="43"/>
      <c r="CS47" s="45"/>
      <c r="CT47" s="45"/>
      <c r="CU47" s="43"/>
      <c r="CV47" s="43"/>
      <c r="CW47" s="43"/>
      <c r="CX47" s="43"/>
      <c r="CY47" s="43"/>
      <c r="CZ47" s="39"/>
      <c r="DA47" s="45"/>
      <c r="DB47" s="45"/>
      <c r="DC47" s="45"/>
      <c r="DD47" s="45"/>
      <c r="DE47" s="45"/>
      <c r="DF47" s="39">
        <f t="shared" si="11"/>
        <v>0</v>
      </c>
      <c r="DG47" s="39">
        <f aca="true" t="shared" si="44" ref="DG47:DG78">CI47+CK47+CM47+CO47+CQ47+CY47+DA47+CS47+CU47+CW47+DE47+DC47</f>
        <v>0</v>
      </c>
      <c r="DH47" s="39"/>
      <c r="DI47" s="39"/>
      <c r="DJ47" s="39">
        <v>0</v>
      </c>
      <c r="DK47" s="39">
        <f t="shared" si="13"/>
        <v>0</v>
      </c>
      <c r="DL47" s="39"/>
      <c r="DM47" s="39"/>
      <c r="DN47" s="43"/>
      <c r="DO47" s="43"/>
      <c r="DP47" s="39">
        <f t="shared" si="14"/>
        <v>0</v>
      </c>
      <c r="DQ47" s="39">
        <f t="shared" si="15"/>
        <v>0</v>
      </c>
      <c r="DR47" s="39"/>
      <c r="DS47" s="39"/>
      <c r="DT47" s="43"/>
      <c r="DU47" s="43"/>
      <c r="DV47" s="43"/>
      <c r="DW47" s="43"/>
      <c r="DX47" s="43"/>
      <c r="DY47" s="43"/>
      <c r="DZ47" s="39"/>
      <c r="EA47" s="39"/>
      <c r="EB47" s="43"/>
      <c r="EC47" s="43"/>
      <c r="ED47" s="43"/>
      <c r="EE47" s="43"/>
      <c r="EF47" s="39">
        <v>258</v>
      </c>
      <c r="EG47" s="43">
        <v>258</v>
      </c>
      <c r="EH47" s="43">
        <v>850</v>
      </c>
      <c r="EI47" s="39">
        <v>850</v>
      </c>
      <c r="EJ47" s="39">
        <v>54</v>
      </c>
      <c r="EK47" s="43">
        <v>54</v>
      </c>
      <c r="EL47" s="43"/>
      <c r="EM47" s="43"/>
      <c r="EN47" s="45"/>
      <c r="EO47" s="45"/>
      <c r="EP47" s="43"/>
      <c r="EQ47" s="43"/>
      <c r="ER47" s="43"/>
      <c r="ES47" s="43"/>
      <c r="ET47" s="135"/>
      <c r="EU47" s="135"/>
      <c r="EV47" s="135"/>
      <c r="EW47" s="135"/>
      <c r="EX47" s="43"/>
      <c r="EY47" s="43"/>
      <c r="EZ47" s="43"/>
      <c r="FA47" s="43"/>
      <c r="FB47" s="37">
        <f t="shared" si="16"/>
        <v>1162</v>
      </c>
      <c r="FC47" s="37">
        <f aca="true" t="shared" si="45" ref="FC47:FC78">DS47+DU47+DY47+EC47+DW47+EK47+EM47+EA47+EE47+EG47+EI47+EO47+EQ47+ES47+EU47+EW47+EY47+FA47</f>
        <v>1162</v>
      </c>
      <c r="FD47" s="39"/>
      <c r="FE47" s="39"/>
      <c r="FF47" s="43"/>
      <c r="FG47" s="43"/>
      <c r="FH47" s="132">
        <f t="shared" si="18"/>
        <v>0</v>
      </c>
      <c r="FI47" s="132">
        <f t="shared" si="19"/>
        <v>0</v>
      </c>
      <c r="FJ47" s="39"/>
      <c r="FK47" s="39"/>
      <c r="FL47" s="43"/>
      <c r="FM47" s="43"/>
      <c r="FN47" s="43"/>
      <c r="FO47" s="43"/>
      <c r="FP47" s="43"/>
      <c r="FQ47" s="43"/>
      <c r="FR47" s="39"/>
      <c r="FS47" s="135"/>
      <c r="FT47" s="43"/>
      <c r="FU47" s="43"/>
      <c r="FV47" s="43"/>
      <c r="FW47" s="43"/>
      <c r="FX47" s="43"/>
      <c r="FY47" s="43"/>
      <c r="FZ47" s="43"/>
      <c r="GA47" s="43"/>
      <c r="GB47" s="43"/>
      <c r="GC47" s="43"/>
      <c r="GD47" s="135"/>
      <c r="GE47" s="135"/>
      <c r="GF47" s="43"/>
      <c r="GG47" s="43"/>
      <c r="GH47" s="43"/>
      <c r="GI47" s="43"/>
      <c r="GJ47" s="43"/>
      <c r="GK47" s="43"/>
      <c r="GL47" s="43"/>
      <c r="GM47" s="43"/>
      <c r="GN47" s="43"/>
      <c r="GO47" s="43"/>
      <c r="GP47" s="43"/>
      <c r="GQ47" s="43"/>
      <c r="GR47" s="43"/>
      <c r="GS47" s="43"/>
      <c r="GT47" s="43"/>
      <c r="GU47" s="43"/>
      <c r="GV47" s="43"/>
      <c r="GW47" s="43"/>
      <c r="GX47" s="45"/>
      <c r="GY47" s="45"/>
      <c r="GZ47" s="43"/>
      <c r="HA47" s="43"/>
      <c r="HB47" s="43"/>
      <c r="HC47" s="43"/>
      <c r="HD47" s="39">
        <f t="shared" si="20"/>
        <v>0</v>
      </c>
      <c r="HE47" s="39">
        <f aca="true" t="shared" si="46" ref="HE47:HE78">FK47+FM47+FO47+FQ47+FS47+FU47+FW47+FY47+GA47+GC47+GE47+GG47+GI47+GK47+GQ47+GS47+GW47+GO47+GU47+GM47+GY47+HA47+HC47</f>
        <v>0</v>
      </c>
      <c r="HF47" s="39"/>
      <c r="HG47" s="39"/>
      <c r="HH47" s="39"/>
      <c r="HI47" s="43"/>
      <c r="HJ47" s="43"/>
      <c r="HK47" s="43"/>
      <c r="HL47" s="43"/>
      <c r="HM47" s="43"/>
      <c r="HN47" s="136"/>
      <c r="HO47" s="136"/>
      <c r="HP47" s="39">
        <f t="shared" si="22"/>
        <v>0</v>
      </c>
      <c r="HQ47" s="39">
        <f aca="true" t="shared" si="47" ref="HQ47:HQ78">HG47+HI47+HK47+HM47+HO47</f>
        <v>0</v>
      </c>
      <c r="HR47" s="39"/>
      <c r="HS47" s="39"/>
      <c r="HT47" s="39"/>
      <c r="HU47" s="43"/>
      <c r="HV47" s="39"/>
      <c r="HW47" s="39"/>
      <c r="HX47" s="39">
        <f t="shared" si="24"/>
        <v>0</v>
      </c>
      <c r="HY47" s="39">
        <f aca="true" t="shared" si="48" ref="HY47:HY78">HS47+HU47+HW47</f>
        <v>0</v>
      </c>
    </row>
    <row r="48" spans="1:233" ht="12.75" customHeight="1">
      <c r="A48" s="15" t="s">
        <v>142</v>
      </c>
      <c r="B48" s="39"/>
      <c r="C48" s="39"/>
      <c r="D48" s="39">
        <f>215+215+214+179+179+178+179+179+178+143+143+143</f>
        <v>2145</v>
      </c>
      <c r="E48" s="39">
        <f>215+215+214+179+179+178+179+179+178+143+143+143</f>
        <v>2145</v>
      </c>
      <c r="F48" s="39"/>
      <c r="G48" s="39"/>
      <c r="H48" s="39"/>
      <c r="I48" s="39"/>
      <c r="J48" s="39"/>
      <c r="K48" s="39"/>
      <c r="L48" s="34"/>
      <c r="M48" s="34"/>
      <c r="N48" s="34"/>
      <c r="O48" s="34"/>
      <c r="P48" s="34"/>
      <c r="Q48" s="34"/>
      <c r="R48" s="39">
        <v>40</v>
      </c>
      <c r="S48" s="39">
        <f>36.05771</f>
        <v>36.05771</v>
      </c>
      <c r="T48" s="39">
        <v>10.74458</v>
      </c>
      <c r="U48" s="39">
        <v>10.74458</v>
      </c>
      <c r="V48" s="39">
        <v>21</v>
      </c>
      <c r="W48" s="39">
        <v>21</v>
      </c>
      <c r="X48" s="34"/>
      <c r="Y48" s="34"/>
      <c r="Z48" s="34"/>
      <c r="AA48" s="34"/>
      <c r="AB48" s="34"/>
      <c r="AC48" s="34"/>
      <c r="AD48" s="39"/>
      <c r="AE48" s="39"/>
      <c r="AF48" s="39">
        <v>147</v>
      </c>
      <c r="AG48" s="39">
        <f>12.3+12.3+12.3+12.3+12.3+21.7+5.8+5.8+13.3+14+24.9</f>
        <v>147</v>
      </c>
      <c r="AH48" s="126">
        <f t="shared" si="5"/>
        <v>2363.74458</v>
      </c>
      <c r="AI48" s="126">
        <f t="shared" si="42"/>
        <v>2359.80229</v>
      </c>
      <c r="AJ48" s="43"/>
      <c r="AK48" s="43"/>
      <c r="AL48" s="134"/>
      <c r="AM48" s="41"/>
      <c r="AN48" s="41"/>
      <c r="AO48" s="41"/>
      <c r="AP48" s="41"/>
      <c r="AQ48" s="41"/>
      <c r="AR48" s="39"/>
      <c r="AS48" s="39"/>
      <c r="AT48" s="43"/>
      <c r="AU48" s="43"/>
      <c r="AV48" s="43"/>
      <c r="AW48" s="43"/>
      <c r="AX48" s="43"/>
      <c r="AY48" s="43"/>
      <c r="AZ48" s="39">
        <f t="shared" si="7"/>
        <v>0</v>
      </c>
      <c r="BA48" s="39">
        <f t="shared" si="8"/>
        <v>0</v>
      </c>
      <c r="BB48" s="39">
        <v>0</v>
      </c>
      <c r="BC48" s="39">
        <v>0</v>
      </c>
      <c r="BD48" s="39"/>
      <c r="BE48" s="43"/>
      <c r="BF48" s="43"/>
      <c r="BG48" s="43"/>
      <c r="BH48" s="43"/>
      <c r="BI48" s="43"/>
      <c r="BJ48" s="43"/>
      <c r="BK48" s="43"/>
      <c r="BL48" s="43"/>
      <c r="BM48" s="43"/>
      <c r="BN48" s="45"/>
      <c r="BO48" s="45"/>
      <c r="BP48" s="45"/>
      <c r="BQ48" s="45"/>
      <c r="BR48" s="43"/>
      <c r="BS48" s="43"/>
      <c r="BT48" s="43"/>
      <c r="BU48" s="43"/>
      <c r="BV48" s="45"/>
      <c r="BW48" s="45"/>
      <c r="BX48" s="43"/>
      <c r="BY48" s="45"/>
      <c r="BZ48" s="43"/>
      <c r="CA48" s="45"/>
      <c r="CB48" s="45"/>
      <c r="CC48" s="45"/>
      <c r="CD48" s="45"/>
      <c r="CE48" s="45"/>
      <c r="CF48" s="39">
        <f t="shared" si="9"/>
        <v>0</v>
      </c>
      <c r="CG48" s="39">
        <f t="shared" si="43"/>
        <v>0</v>
      </c>
      <c r="CH48" s="39">
        <v>5095.03419</v>
      </c>
      <c r="CI48" s="39">
        <v>5095.03419</v>
      </c>
      <c r="CJ48" s="39">
        <v>1626.98884</v>
      </c>
      <c r="CK48" s="43">
        <v>1626.98884</v>
      </c>
      <c r="CL48" s="43"/>
      <c r="CM48" s="43"/>
      <c r="CN48" s="43"/>
      <c r="CO48" s="43"/>
      <c r="CP48" s="43"/>
      <c r="CQ48" s="39"/>
      <c r="CR48" s="43"/>
      <c r="CS48" s="45"/>
      <c r="CT48" s="45"/>
      <c r="CU48" s="43"/>
      <c r="CV48" s="43"/>
      <c r="CW48" s="43"/>
      <c r="CX48" s="43"/>
      <c r="CY48" s="43"/>
      <c r="CZ48" s="39"/>
      <c r="DA48" s="45"/>
      <c r="DB48" s="45"/>
      <c r="DC48" s="45"/>
      <c r="DD48" s="45"/>
      <c r="DE48" s="45"/>
      <c r="DF48" s="39">
        <f t="shared" si="11"/>
        <v>6722.02303</v>
      </c>
      <c r="DG48" s="39">
        <f t="shared" si="44"/>
        <v>6722.02303</v>
      </c>
      <c r="DH48" s="39"/>
      <c r="DI48" s="39"/>
      <c r="DJ48" s="39">
        <v>0</v>
      </c>
      <c r="DK48" s="39">
        <f t="shared" si="13"/>
        <v>0</v>
      </c>
      <c r="DL48" s="39"/>
      <c r="DM48" s="39"/>
      <c r="DN48" s="43"/>
      <c r="DO48" s="43"/>
      <c r="DP48" s="39">
        <f t="shared" si="14"/>
        <v>0</v>
      </c>
      <c r="DQ48" s="39">
        <f t="shared" si="15"/>
        <v>0</v>
      </c>
      <c r="DR48" s="39"/>
      <c r="DS48" s="39"/>
      <c r="DT48" s="43"/>
      <c r="DU48" s="43"/>
      <c r="DV48" s="43"/>
      <c r="DW48" s="43"/>
      <c r="DX48" s="43"/>
      <c r="DY48" s="43"/>
      <c r="DZ48" s="39"/>
      <c r="EA48" s="39"/>
      <c r="EB48" s="43"/>
      <c r="EC48" s="43"/>
      <c r="ED48" s="43"/>
      <c r="EE48" s="43"/>
      <c r="EF48" s="39"/>
      <c r="EG48" s="43"/>
      <c r="EH48" s="43">
        <v>796</v>
      </c>
      <c r="EI48" s="39">
        <v>796</v>
      </c>
      <c r="EJ48" s="39">
        <v>21</v>
      </c>
      <c r="EK48" s="43">
        <v>13.6</v>
      </c>
      <c r="EL48" s="43"/>
      <c r="EM48" s="43"/>
      <c r="EN48" s="45"/>
      <c r="EO48" s="45"/>
      <c r="EP48" s="43"/>
      <c r="EQ48" s="43"/>
      <c r="ER48" s="43"/>
      <c r="ES48" s="43"/>
      <c r="ET48" s="135"/>
      <c r="EU48" s="135"/>
      <c r="EV48" s="135"/>
      <c r="EW48" s="135"/>
      <c r="EX48" s="43"/>
      <c r="EY48" s="43"/>
      <c r="EZ48" s="43"/>
      <c r="FA48" s="43"/>
      <c r="FB48" s="37">
        <f t="shared" si="16"/>
        <v>817</v>
      </c>
      <c r="FC48" s="37">
        <f t="shared" si="45"/>
        <v>809.6</v>
      </c>
      <c r="FD48" s="39"/>
      <c r="FE48" s="39"/>
      <c r="FF48" s="43"/>
      <c r="FG48" s="43"/>
      <c r="FH48" s="132">
        <f t="shared" si="18"/>
        <v>0</v>
      </c>
      <c r="FI48" s="132">
        <f t="shared" si="19"/>
        <v>0</v>
      </c>
      <c r="FJ48" s="39"/>
      <c r="FK48" s="39"/>
      <c r="FL48" s="43"/>
      <c r="FM48" s="43"/>
      <c r="FN48" s="43"/>
      <c r="FO48" s="43"/>
      <c r="FP48" s="43"/>
      <c r="FQ48" s="43"/>
      <c r="FR48" s="39"/>
      <c r="FS48" s="135"/>
      <c r="FT48" s="43"/>
      <c r="FU48" s="43"/>
      <c r="FV48" s="43"/>
      <c r="FW48" s="43"/>
      <c r="FX48" s="43"/>
      <c r="FY48" s="43"/>
      <c r="FZ48" s="43"/>
      <c r="GA48" s="43"/>
      <c r="GB48" s="43"/>
      <c r="GC48" s="43"/>
      <c r="GD48" s="135"/>
      <c r="GE48" s="135"/>
      <c r="GF48" s="43"/>
      <c r="GG48" s="43"/>
      <c r="GH48" s="43"/>
      <c r="GI48" s="43"/>
      <c r="GJ48" s="43"/>
      <c r="GK48" s="43"/>
      <c r="GL48" s="43"/>
      <c r="GM48" s="43"/>
      <c r="GN48" s="43"/>
      <c r="GO48" s="43"/>
      <c r="GP48" s="43"/>
      <c r="GQ48" s="43"/>
      <c r="GR48" s="43"/>
      <c r="GS48" s="43"/>
      <c r="GT48" s="43"/>
      <c r="GU48" s="43"/>
      <c r="GV48" s="43"/>
      <c r="GW48" s="43"/>
      <c r="GX48" s="45"/>
      <c r="GY48" s="45"/>
      <c r="GZ48" s="43"/>
      <c r="HA48" s="43"/>
      <c r="HB48" s="43"/>
      <c r="HC48" s="43"/>
      <c r="HD48" s="39">
        <f t="shared" si="20"/>
        <v>0</v>
      </c>
      <c r="HE48" s="39">
        <f t="shared" si="46"/>
        <v>0</v>
      </c>
      <c r="HF48" s="39"/>
      <c r="HG48" s="39"/>
      <c r="HH48" s="39"/>
      <c r="HI48" s="43"/>
      <c r="HJ48" s="43"/>
      <c r="HK48" s="43"/>
      <c r="HL48" s="43"/>
      <c r="HM48" s="43"/>
      <c r="HN48" s="136"/>
      <c r="HO48" s="136"/>
      <c r="HP48" s="39">
        <f t="shared" si="22"/>
        <v>0</v>
      </c>
      <c r="HQ48" s="39">
        <f t="shared" si="47"/>
        <v>0</v>
      </c>
      <c r="HR48" s="39"/>
      <c r="HS48" s="39"/>
      <c r="HT48" s="39"/>
      <c r="HU48" s="43"/>
      <c r="HV48" s="39"/>
      <c r="HW48" s="39"/>
      <c r="HX48" s="39">
        <f t="shared" si="24"/>
        <v>0</v>
      </c>
      <c r="HY48" s="39">
        <f t="shared" si="48"/>
        <v>0</v>
      </c>
    </row>
    <row r="49" spans="1:233" ht="12.75">
      <c r="A49" s="15" t="s">
        <v>141</v>
      </c>
      <c r="B49" s="39"/>
      <c r="C49" s="39"/>
      <c r="D49" s="39">
        <f>47+47+48+40+40+39+40+40+39+31.3+31.4+31.3</f>
        <v>474</v>
      </c>
      <c r="E49" s="39">
        <f>47+47+48+40+40+39+40+40+39+31.3+31.4+31.3</f>
        <v>474</v>
      </c>
      <c r="F49" s="39"/>
      <c r="G49" s="39"/>
      <c r="H49" s="39"/>
      <c r="I49" s="39"/>
      <c r="J49" s="39"/>
      <c r="K49" s="39"/>
      <c r="L49" s="34"/>
      <c r="M49" s="34"/>
      <c r="N49" s="34"/>
      <c r="O49" s="34"/>
      <c r="P49" s="34"/>
      <c r="Q49" s="34"/>
      <c r="R49" s="39">
        <v>680</v>
      </c>
      <c r="S49" s="39">
        <f>676.06805</f>
        <v>676.06805</v>
      </c>
      <c r="T49" s="39">
        <v>34.23529</v>
      </c>
      <c r="U49" s="39">
        <v>34.23529</v>
      </c>
      <c r="V49" s="39">
        <v>0</v>
      </c>
      <c r="W49" s="34"/>
      <c r="X49" s="34"/>
      <c r="Y49" s="34"/>
      <c r="Z49" s="34"/>
      <c r="AA49" s="34"/>
      <c r="AB49" s="34"/>
      <c r="AC49" s="34"/>
      <c r="AD49" s="39"/>
      <c r="AE49" s="39"/>
      <c r="AF49" s="39">
        <v>147</v>
      </c>
      <c r="AG49" s="39">
        <f>12.3+12.3+12.3+12.3+12.3+2+15.5+15.6+10.5+8.1+5+28.8</f>
        <v>147</v>
      </c>
      <c r="AH49" s="126">
        <f t="shared" si="5"/>
        <v>1335.23529</v>
      </c>
      <c r="AI49" s="126">
        <f t="shared" si="42"/>
        <v>1331.30334</v>
      </c>
      <c r="AJ49" s="43"/>
      <c r="AK49" s="43"/>
      <c r="AL49" s="134"/>
      <c r="AM49" s="41"/>
      <c r="AN49" s="41"/>
      <c r="AO49" s="41"/>
      <c r="AP49" s="41"/>
      <c r="AQ49" s="41"/>
      <c r="AR49" s="39"/>
      <c r="AS49" s="39"/>
      <c r="AT49" s="43"/>
      <c r="AU49" s="43"/>
      <c r="AV49" s="43"/>
      <c r="AW49" s="43"/>
      <c r="AX49" s="43"/>
      <c r="AY49" s="43"/>
      <c r="AZ49" s="39">
        <f t="shared" si="7"/>
        <v>0</v>
      </c>
      <c r="BA49" s="39">
        <f t="shared" si="8"/>
        <v>0</v>
      </c>
      <c r="BB49" s="39">
        <v>0</v>
      </c>
      <c r="BC49" s="39">
        <v>0</v>
      </c>
      <c r="BD49" s="39"/>
      <c r="BE49" s="43"/>
      <c r="BF49" s="43"/>
      <c r="BG49" s="43"/>
      <c r="BH49" s="43"/>
      <c r="BI49" s="43"/>
      <c r="BJ49" s="43"/>
      <c r="BK49" s="43"/>
      <c r="BL49" s="43"/>
      <c r="BM49" s="43"/>
      <c r="BN49" s="45"/>
      <c r="BO49" s="45"/>
      <c r="BP49" s="45"/>
      <c r="BQ49" s="45"/>
      <c r="BR49" s="43"/>
      <c r="BS49" s="43"/>
      <c r="BT49" s="43"/>
      <c r="BU49" s="43"/>
      <c r="BV49" s="45"/>
      <c r="BW49" s="45"/>
      <c r="BX49" s="43"/>
      <c r="BY49" s="45"/>
      <c r="BZ49" s="43"/>
      <c r="CA49" s="45"/>
      <c r="CB49" s="45"/>
      <c r="CC49" s="45"/>
      <c r="CD49" s="45"/>
      <c r="CE49" s="45"/>
      <c r="CF49" s="39">
        <f t="shared" si="9"/>
        <v>0</v>
      </c>
      <c r="CG49" s="39">
        <f t="shared" si="43"/>
        <v>0</v>
      </c>
      <c r="CH49" s="39"/>
      <c r="CI49" s="39"/>
      <c r="CJ49" s="39"/>
      <c r="CK49" s="45"/>
      <c r="CL49" s="45"/>
      <c r="CM49" s="43"/>
      <c r="CN49" s="43"/>
      <c r="CO49" s="43"/>
      <c r="CP49" s="43"/>
      <c r="CQ49" s="39"/>
      <c r="CR49" s="43"/>
      <c r="CS49" s="45"/>
      <c r="CT49" s="45"/>
      <c r="CU49" s="43"/>
      <c r="CV49" s="43"/>
      <c r="CW49" s="43"/>
      <c r="CX49" s="43"/>
      <c r="CY49" s="43"/>
      <c r="CZ49" s="39">
        <v>28.52</v>
      </c>
      <c r="DA49" s="39">
        <v>28.52</v>
      </c>
      <c r="DB49" s="39"/>
      <c r="DC49" s="39"/>
      <c r="DD49" s="45"/>
      <c r="DE49" s="45"/>
      <c r="DF49" s="39">
        <f t="shared" si="11"/>
        <v>28.52</v>
      </c>
      <c r="DG49" s="39">
        <f t="shared" si="44"/>
        <v>28.52</v>
      </c>
      <c r="DH49" s="39"/>
      <c r="DI49" s="39"/>
      <c r="DJ49" s="39">
        <v>0</v>
      </c>
      <c r="DK49" s="39">
        <f t="shared" si="13"/>
        <v>0</v>
      </c>
      <c r="DL49" s="39"/>
      <c r="DM49" s="39"/>
      <c r="DN49" s="43"/>
      <c r="DO49" s="43"/>
      <c r="DP49" s="39">
        <f t="shared" si="14"/>
        <v>0</v>
      </c>
      <c r="DQ49" s="39">
        <f t="shared" si="15"/>
        <v>0</v>
      </c>
      <c r="DR49" s="39"/>
      <c r="DS49" s="39"/>
      <c r="DT49" s="43"/>
      <c r="DU49" s="43"/>
      <c r="DV49" s="43"/>
      <c r="DW49" s="43"/>
      <c r="DX49" s="43"/>
      <c r="DY49" s="43"/>
      <c r="DZ49" s="39"/>
      <c r="EA49" s="39"/>
      <c r="EB49" s="43"/>
      <c r="EC49" s="43"/>
      <c r="ED49" s="43"/>
      <c r="EE49" s="43"/>
      <c r="EF49" s="39"/>
      <c r="EG49" s="43"/>
      <c r="EH49" s="43">
        <v>329</v>
      </c>
      <c r="EI49" s="39">
        <v>329</v>
      </c>
      <c r="EJ49" s="39">
        <v>72</v>
      </c>
      <c r="EK49" s="43">
        <v>21.2</v>
      </c>
      <c r="EL49" s="43"/>
      <c r="EM49" s="43"/>
      <c r="EN49" s="45"/>
      <c r="EO49" s="45"/>
      <c r="EP49" s="43"/>
      <c r="EQ49" s="43"/>
      <c r="ER49" s="43"/>
      <c r="ES49" s="43"/>
      <c r="ET49" s="135"/>
      <c r="EU49" s="135"/>
      <c r="EV49" s="135"/>
      <c r="EW49" s="135"/>
      <c r="EX49" s="43"/>
      <c r="EY49" s="43"/>
      <c r="EZ49" s="43"/>
      <c r="FA49" s="43"/>
      <c r="FB49" s="37">
        <f t="shared" si="16"/>
        <v>401</v>
      </c>
      <c r="FC49" s="37">
        <f t="shared" si="45"/>
        <v>350.2</v>
      </c>
      <c r="FD49" s="39"/>
      <c r="FE49" s="39"/>
      <c r="FF49" s="43"/>
      <c r="FG49" s="43"/>
      <c r="FH49" s="132">
        <f t="shared" si="18"/>
        <v>0</v>
      </c>
      <c r="FI49" s="132">
        <f t="shared" si="19"/>
        <v>0</v>
      </c>
      <c r="FJ49" s="39"/>
      <c r="FK49" s="39"/>
      <c r="FL49" s="43"/>
      <c r="FM49" s="43"/>
      <c r="FN49" s="43"/>
      <c r="FO49" s="43"/>
      <c r="FP49" s="43"/>
      <c r="FQ49" s="43"/>
      <c r="FR49" s="39"/>
      <c r="FS49" s="135"/>
      <c r="FT49" s="43"/>
      <c r="FU49" s="43"/>
      <c r="FV49" s="43"/>
      <c r="FW49" s="43"/>
      <c r="FX49" s="43"/>
      <c r="FY49" s="43"/>
      <c r="FZ49" s="43"/>
      <c r="GA49" s="43"/>
      <c r="GB49" s="43"/>
      <c r="GC49" s="43"/>
      <c r="GD49" s="135"/>
      <c r="GE49" s="135"/>
      <c r="GF49" s="43"/>
      <c r="GG49" s="43"/>
      <c r="GH49" s="43"/>
      <c r="GI49" s="43"/>
      <c r="GJ49" s="43"/>
      <c r="GK49" s="43"/>
      <c r="GL49" s="43"/>
      <c r="GM49" s="43"/>
      <c r="GN49" s="43"/>
      <c r="GO49" s="43"/>
      <c r="GP49" s="43"/>
      <c r="GQ49" s="43"/>
      <c r="GR49" s="43"/>
      <c r="GS49" s="43"/>
      <c r="GT49" s="43"/>
      <c r="GU49" s="43"/>
      <c r="GV49" s="43"/>
      <c r="GW49" s="43"/>
      <c r="GX49" s="45"/>
      <c r="GY49" s="45"/>
      <c r="GZ49" s="43"/>
      <c r="HA49" s="43"/>
      <c r="HB49" s="43"/>
      <c r="HC49" s="43"/>
      <c r="HD49" s="39">
        <f t="shared" si="20"/>
        <v>0</v>
      </c>
      <c r="HE49" s="39">
        <f t="shared" si="46"/>
        <v>0</v>
      </c>
      <c r="HF49" s="39"/>
      <c r="HG49" s="39"/>
      <c r="HH49" s="39"/>
      <c r="HI49" s="43"/>
      <c r="HJ49" s="43"/>
      <c r="HK49" s="43"/>
      <c r="HL49" s="43"/>
      <c r="HM49" s="43"/>
      <c r="HN49" s="136"/>
      <c r="HO49" s="136"/>
      <c r="HP49" s="39">
        <f t="shared" si="22"/>
        <v>0</v>
      </c>
      <c r="HQ49" s="39">
        <f t="shared" si="47"/>
        <v>0</v>
      </c>
      <c r="HR49" s="39"/>
      <c r="HS49" s="39"/>
      <c r="HT49" s="39"/>
      <c r="HU49" s="43"/>
      <c r="HV49" s="39"/>
      <c r="HW49" s="39"/>
      <c r="HX49" s="39">
        <f t="shared" si="24"/>
        <v>0</v>
      </c>
      <c r="HY49" s="39">
        <f t="shared" si="48"/>
        <v>0</v>
      </c>
    </row>
    <row r="50" spans="1:233" ht="12.75" customHeight="1">
      <c r="A50" s="15" t="s">
        <v>140</v>
      </c>
      <c r="B50" s="39"/>
      <c r="C50" s="39"/>
      <c r="D50" s="39">
        <f>457+457+457+381+381+381+381+381+381+304.7+304.7+304.6</f>
        <v>4571</v>
      </c>
      <c r="E50" s="39">
        <f>457+457+457+381+381+381+381+381+381+304.7+304.7+304.6</f>
        <v>4571</v>
      </c>
      <c r="F50" s="39"/>
      <c r="G50" s="39"/>
      <c r="H50" s="39"/>
      <c r="I50" s="39"/>
      <c r="J50" s="39"/>
      <c r="K50" s="39"/>
      <c r="L50" s="34"/>
      <c r="M50" s="34"/>
      <c r="N50" s="34"/>
      <c r="O50" s="34"/>
      <c r="P50" s="34"/>
      <c r="Q50" s="34"/>
      <c r="R50" s="39">
        <v>100</v>
      </c>
      <c r="S50" s="39">
        <f>100</f>
        <v>100</v>
      </c>
      <c r="T50" s="39">
        <v>33.326699999999995</v>
      </c>
      <c r="U50" s="39">
        <v>33.3267</v>
      </c>
      <c r="V50" s="39">
        <v>26.78</v>
      </c>
      <c r="W50" s="34">
        <v>26.78</v>
      </c>
      <c r="X50" s="34"/>
      <c r="Y50" s="34"/>
      <c r="Z50" s="34"/>
      <c r="AA50" s="34"/>
      <c r="AB50" s="34"/>
      <c r="AC50" s="34"/>
      <c r="AD50" s="39">
        <v>2006</v>
      </c>
      <c r="AE50" s="39">
        <v>2006</v>
      </c>
      <c r="AF50" s="39">
        <v>147</v>
      </c>
      <c r="AG50" s="39">
        <f>12.3+12.3+12.3+12.3+12.3+12.3+21.1+11.3+11.3+12+17.5</f>
        <v>147</v>
      </c>
      <c r="AH50" s="126">
        <f t="shared" si="5"/>
        <v>6884.106699999999</v>
      </c>
      <c r="AI50" s="126">
        <f t="shared" si="42"/>
        <v>6884.106699999999</v>
      </c>
      <c r="AJ50" s="43"/>
      <c r="AK50" s="43"/>
      <c r="AL50" s="134"/>
      <c r="AM50" s="41"/>
      <c r="AN50" s="41"/>
      <c r="AO50" s="41"/>
      <c r="AP50" s="41"/>
      <c r="AQ50" s="41"/>
      <c r="AR50" s="39"/>
      <c r="AS50" s="39"/>
      <c r="AT50" s="43"/>
      <c r="AU50" s="43"/>
      <c r="AV50" s="43"/>
      <c r="AW50" s="43"/>
      <c r="AX50" s="43"/>
      <c r="AY50" s="43"/>
      <c r="AZ50" s="39">
        <f t="shared" si="7"/>
        <v>0</v>
      </c>
      <c r="BA50" s="39">
        <f t="shared" si="8"/>
        <v>0</v>
      </c>
      <c r="BB50" s="39">
        <v>0</v>
      </c>
      <c r="BC50" s="39">
        <v>0</v>
      </c>
      <c r="BD50" s="39"/>
      <c r="BE50" s="43"/>
      <c r="BF50" s="43"/>
      <c r="BG50" s="43"/>
      <c r="BH50" s="43"/>
      <c r="BI50" s="43"/>
      <c r="BJ50" s="43"/>
      <c r="BK50" s="43"/>
      <c r="BL50" s="43"/>
      <c r="BM50" s="43"/>
      <c r="BN50" s="45"/>
      <c r="BO50" s="45"/>
      <c r="BP50" s="45"/>
      <c r="BQ50" s="45"/>
      <c r="BR50" s="43"/>
      <c r="BS50" s="43"/>
      <c r="BT50" s="43"/>
      <c r="BU50" s="43"/>
      <c r="BV50" s="45"/>
      <c r="BW50" s="45"/>
      <c r="BX50" s="43"/>
      <c r="BY50" s="45"/>
      <c r="BZ50" s="43"/>
      <c r="CA50" s="45"/>
      <c r="CB50" s="45"/>
      <c r="CC50" s="45"/>
      <c r="CD50" s="45"/>
      <c r="CE50" s="45"/>
      <c r="CF50" s="39">
        <f t="shared" si="9"/>
        <v>0</v>
      </c>
      <c r="CG50" s="39">
        <f t="shared" si="43"/>
        <v>0</v>
      </c>
      <c r="CH50" s="39"/>
      <c r="CI50" s="39"/>
      <c r="CJ50" s="39"/>
      <c r="CK50" s="45"/>
      <c r="CL50" s="45"/>
      <c r="CM50" s="43"/>
      <c r="CN50" s="43"/>
      <c r="CO50" s="43"/>
      <c r="CP50" s="43"/>
      <c r="CQ50" s="39"/>
      <c r="CR50" s="43"/>
      <c r="CS50" s="45"/>
      <c r="CT50" s="45"/>
      <c r="CU50" s="43"/>
      <c r="CV50" s="43"/>
      <c r="CW50" s="43"/>
      <c r="CX50" s="43"/>
      <c r="CY50" s="43"/>
      <c r="CZ50" s="39">
        <v>28.52</v>
      </c>
      <c r="DA50" s="39">
        <v>28.52</v>
      </c>
      <c r="DB50" s="39"/>
      <c r="DC50" s="39"/>
      <c r="DD50" s="45"/>
      <c r="DE50" s="45"/>
      <c r="DF50" s="39">
        <f t="shared" si="11"/>
        <v>28.52</v>
      </c>
      <c r="DG50" s="39">
        <f t="shared" si="44"/>
        <v>28.52</v>
      </c>
      <c r="DH50" s="39"/>
      <c r="DI50" s="39"/>
      <c r="DJ50" s="39">
        <v>0</v>
      </c>
      <c r="DK50" s="39">
        <f t="shared" si="13"/>
        <v>0</v>
      </c>
      <c r="DL50" s="39"/>
      <c r="DM50" s="39"/>
      <c r="DN50" s="43"/>
      <c r="DO50" s="43"/>
      <c r="DP50" s="39">
        <f t="shared" si="14"/>
        <v>0</v>
      </c>
      <c r="DQ50" s="39">
        <f t="shared" si="15"/>
        <v>0</v>
      </c>
      <c r="DR50" s="39"/>
      <c r="DS50" s="39"/>
      <c r="DT50" s="43"/>
      <c r="DU50" s="43"/>
      <c r="DV50" s="43"/>
      <c r="DW50" s="43"/>
      <c r="DX50" s="43"/>
      <c r="DY50" s="43"/>
      <c r="DZ50" s="39"/>
      <c r="EA50" s="39"/>
      <c r="EB50" s="43"/>
      <c r="EC50" s="43"/>
      <c r="ED50" s="43"/>
      <c r="EE50" s="43"/>
      <c r="EF50" s="39">
        <v>632</v>
      </c>
      <c r="EG50" s="43">
        <v>632</v>
      </c>
      <c r="EH50" s="43">
        <v>1244</v>
      </c>
      <c r="EI50" s="39">
        <v>1244</v>
      </c>
      <c r="EJ50" s="39">
        <v>107</v>
      </c>
      <c r="EK50" s="43">
        <v>107</v>
      </c>
      <c r="EL50" s="43"/>
      <c r="EM50" s="43"/>
      <c r="EN50" s="45"/>
      <c r="EO50" s="45"/>
      <c r="EP50" s="43"/>
      <c r="EQ50" s="43"/>
      <c r="ER50" s="43"/>
      <c r="ES50" s="43"/>
      <c r="ET50" s="135"/>
      <c r="EU50" s="135"/>
      <c r="EV50" s="135"/>
      <c r="EW50" s="135"/>
      <c r="EX50" s="43">
        <v>100</v>
      </c>
      <c r="EY50" s="43">
        <v>100</v>
      </c>
      <c r="EZ50" s="43"/>
      <c r="FA50" s="43"/>
      <c r="FB50" s="37">
        <f t="shared" si="16"/>
        <v>2083</v>
      </c>
      <c r="FC50" s="37">
        <f t="shared" si="45"/>
        <v>2083</v>
      </c>
      <c r="FD50" s="39"/>
      <c r="FE50" s="39"/>
      <c r="FF50" s="43"/>
      <c r="FG50" s="43"/>
      <c r="FH50" s="132">
        <f t="shared" si="18"/>
        <v>0</v>
      </c>
      <c r="FI50" s="132">
        <f t="shared" si="19"/>
        <v>0</v>
      </c>
      <c r="FJ50" s="39"/>
      <c r="FK50" s="39"/>
      <c r="FL50" s="43"/>
      <c r="FM50" s="43"/>
      <c r="FN50" s="43"/>
      <c r="FO50" s="43"/>
      <c r="FP50" s="43"/>
      <c r="FQ50" s="43"/>
      <c r="FR50" s="39"/>
      <c r="FS50" s="135"/>
      <c r="FT50" s="43"/>
      <c r="FU50" s="43"/>
      <c r="FV50" s="43"/>
      <c r="FW50" s="43"/>
      <c r="FX50" s="43"/>
      <c r="FY50" s="43"/>
      <c r="FZ50" s="43"/>
      <c r="GA50" s="43"/>
      <c r="GB50" s="43"/>
      <c r="GC50" s="43"/>
      <c r="GD50" s="135"/>
      <c r="GE50" s="135"/>
      <c r="GF50" s="43"/>
      <c r="GG50" s="43"/>
      <c r="GH50" s="43"/>
      <c r="GI50" s="43"/>
      <c r="GJ50" s="43"/>
      <c r="GK50" s="43"/>
      <c r="GL50" s="43"/>
      <c r="GM50" s="43"/>
      <c r="GN50" s="43"/>
      <c r="GO50" s="43"/>
      <c r="GP50" s="43"/>
      <c r="GQ50" s="43"/>
      <c r="GR50" s="43"/>
      <c r="GS50" s="43"/>
      <c r="GT50" s="43"/>
      <c r="GU50" s="43"/>
      <c r="GV50" s="43"/>
      <c r="GW50" s="43"/>
      <c r="GX50" s="45"/>
      <c r="GY50" s="45"/>
      <c r="GZ50" s="43"/>
      <c r="HA50" s="43"/>
      <c r="HB50" s="43"/>
      <c r="HC50" s="43"/>
      <c r="HD50" s="39">
        <f t="shared" si="20"/>
        <v>0</v>
      </c>
      <c r="HE50" s="39">
        <f t="shared" si="46"/>
        <v>0</v>
      </c>
      <c r="HF50" s="39"/>
      <c r="HG50" s="39"/>
      <c r="HH50" s="39"/>
      <c r="HI50" s="43"/>
      <c r="HJ50" s="43"/>
      <c r="HK50" s="43"/>
      <c r="HL50" s="43"/>
      <c r="HM50" s="43"/>
      <c r="HN50" s="136"/>
      <c r="HO50" s="136"/>
      <c r="HP50" s="39">
        <f t="shared" si="22"/>
        <v>0</v>
      </c>
      <c r="HQ50" s="39">
        <f t="shared" si="47"/>
        <v>0</v>
      </c>
      <c r="HR50" s="39"/>
      <c r="HS50" s="39"/>
      <c r="HT50" s="39"/>
      <c r="HU50" s="43"/>
      <c r="HV50" s="39"/>
      <c r="HW50" s="39"/>
      <c r="HX50" s="39">
        <f t="shared" si="24"/>
        <v>0</v>
      </c>
      <c r="HY50" s="39">
        <f t="shared" si="48"/>
        <v>0</v>
      </c>
    </row>
    <row r="51" spans="1:233" ht="12.75">
      <c r="A51" s="15" t="s">
        <v>139</v>
      </c>
      <c r="B51" s="39"/>
      <c r="C51" s="39"/>
      <c r="D51" s="39">
        <f>176+176+175+146+146+147+146+146+147+117.3+117.4+117.3</f>
        <v>1757</v>
      </c>
      <c r="E51" s="39">
        <f>176+176+175+146+146+147+146+146+147+117.3+117.4+117.3</f>
        <v>1757</v>
      </c>
      <c r="F51" s="39"/>
      <c r="G51" s="39"/>
      <c r="H51" s="39"/>
      <c r="I51" s="39"/>
      <c r="J51" s="39">
        <v>1583.3</v>
      </c>
      <c r="K51" s="39">
        <v>1583.3</v>
      </c>
      <c r="L51" s="34"/>
      <c r="M51" s="34"/>
      <c r="N51" s="34"/>
      <c r="O51" s="34"/>
      <c r="P51" s="34"/>
      <c r="Q51" s="34"/>
      <c r="R51" s="39"/>
      <c r="S51" s="39"/>
      <c r="T51" s="39"/>
      <c r="U51" s="39"/>
      <c r="V51" s="39">
        <v>108.9</v>
      </c>
      <c r="W51" s="34">
        <f>63.6+10.7+34.6</f>
        <v>108.9</v>
      </c>
      <c r="X51" s="34"/>
      <c r="Y51" s="34"/>
      <c r="Z51" s="34"/>
      <c r="AA51" s="34"/>
      <c r="AB51" s="34"/>
      <c r="AC51" s="34"/>
      <c r="AD51" s="39"/>
      <c r="AE51" s="39"/>
      <c r="AF51" s="39">
        <v>147</v>
      </c>
      <c r="AG51" s="39">
        <f>12.3+12.3+12.3+12.3+12.3+4.4+10.9+18.2+8.7+9.4+10+23.9</f>
        <v>147.00000000000003</v>
      </c>
      <c r="AH51" s="126">
        <f t="shared" si="5"/>
        <v>3596.2000000000003</v>
      </c>
      <c r="AI51" s="126">
        <f t="shared" si="42"/>
        <v>3596.2000000000003</v>
      </c>
      <c r="AJ51" s="43"/>
      <c r="AK51" s="43"/>
      <c r="AL51" s="134"/>
      <c r="AM51" s="41"/>
      <c r="AN51" s="41"/>
      <c r="AO51" s="41"/>
      <c r="AP51" s="41"/>
      <c r="AQ51" s="41"/>
      <c r="AR51" s="39"/>
      <c r="AS51" s="39"/>
      <c r="AT51" s="43"/>
      <c r="AU51" s="43"/>
      <c r="AV51" s="43"/>
      <c r="AW51" s="43"/>
      <c r="AX51" s="43"/>
      <c r="AY51" s="43"/>
      <c r="AZ51" s="39">
        <f t="shared" si="7"/>
        <v>0</v>
      </c>
      <c r="BA51" s="39">
        <f t="shared" si="8"/>
        <v>0</v>
      </c>
      <c r="BB51" s="39">
        <v>0</v>
      </c>
      <c r="BC51" s="39">
        <v>0</v>
      </c>
      <c r="BD51" s="39">
        <v>191.8</v>
      </c>
      <c r="BE51" s="43">
        <v>191.796</v>
      </c>
      <c r="BF51" s="43"/>
      <c r="BG51" s="43"/>
      <c r="BH51" s="43"/>
      <c r="BI51" s="43"/>
      <c r="BJ51" s="43"/>
      <c r="BK51" s="43"/>
      <c r="BL51" s="43"/>
      <c r="BM51" s="43"/>
      <c r="BN51" s="45"/>
      <c r="BO51" s="45"/>
      <c r="BP51" s="45"/>
      <c r="BQ51" s="45"/>
      <c r="BR51" s="43"/>
      <c r="BS51" s="43"/>
      <c r="BT51" s="43"/>
      <c r="BU51" s="43"/>
      <c r="BV51" s="45"/>
      <c r="BW51" s="45"/>
      <c r="BX51" s="43"/>
      <c r="BY51" s="45"/>
      <c r="BZ51" s="43"/>
      <c r="CA51" s="45"/>
      <c r="CB51" s="45"/>
      <c r="CC51" s="45"/>
      <c r="CD51" s="45"/>
      <c r="CE51" s="45"/>
      <c r="CF51" s="39">
        <f t="shared" si="9"/>
        <v>191.8</v>
      </c>
      <c r="CG51" s="39">
        <f t="shared" si="43"/>
        <v>191.796</v>
      </c>
      <c r="CH51" s="39"/>
      <c r="CI51" s="39"/>
      <c r="CJ51" s="39"/>
      <c r="CK51" s="45"/>
      <c r="CL51" s="45"/>
      <c r="CM51" s="43"/>
      <c r="CN51" s="43"/>
      <c r="CO51" s="43"/>
      <c r="CP51" s="43"/>
      <c r="CQ51" s="39"/>
      <c r="CR51" s="43"/>
      <c r="CS51" s="45"/>
      <c r="CT51" s="45"/>
      <c r="CU51" s="43"/>
      <c r="CV51" s="43"/>
      <c r="CW51" s="43"/>
      <c r="CX51" s="43"/>
      <c r="CY51" s="43"/>
      <c r="CZ51" s="39">
        <v>57.041</v>
      </c>
      <c r="DA51" s="39">
        <v>57.041</v>
      </c>
      <c r="DB51" s="39"/>
      <c r="DC51" s="39"/>
      <c r="DD51" s="45"/>
      <c r="DE51" s="45"/>
      <c r="DF51" s="39">
        <f t="shared" si="11"/>
        <v>57.041</v>
      </c>
      <c r="DG51" s="39">
        <f t="shared" si="44"/>
        <v>57.041</v>
      </c>
      <c r="DH51" s="39"/>
      <c r="DI51" s="39"/>
      <c r="DJ51" s="39">
        <v>0</v>
      </c>
      <c r="DK51" s="39">
        <f t="shared" si="13"/>
        <v>0</v>
      </c>
      <c r="DL51" s="39"/>
      <c r="DM51" s="39"/>
      <c r="DN51" s="43"/>
      <c r="DO51" s="43"/>
      <c r="DP51" s="39">
        <f t="shared" si="14"/>
        <v>0</v>
      </c>
      <c r="DQ51" s="39">
        <f t="shared" si="15"/>
        <v>0</v>
      </c>
      <c r="DR51" s="39"/>
      <c r="DS51" s="39"/>
      <c r="DT51" s="43"/>
      <c r="DU51" s="43"/>
      <c r="DV51" s="43"/>
      <c r="DW51" s="43"/>
      <c r="DX51" s="43"/>
      <c r="DY51" s="43"/>
      <c r="DZ51" s="39"/>
      <c r="EA51" s="39"/>
      <c r="EB51" s="43"/>
      <c r="EC51" s="43"/>
      <c r="ED51" s="43"/>
      <c r="EE51" s="43"/>
      <c r="EF51" s="39"/>
      <c r="EG51" s="43"/>
      <c r="EH51" s="43">
        <v>584.4</v>
      </c>
      <c r="EI51" s="39">
        <v>584.4</v>
      </c>
      <c r="EJ51" s="39">
        <v>36</v>
      </c>
      <c r="EK51" s="43">
        <v>36</v>
      </c>
      <c r="EL51" s="43"/>
      <c r="EM51" s="43"/>
      <c r="EN51" s="45"/>
      <c r="EO51" s="45"/>
      <c r="EP51" s="43"/>
      <c r="EQ51" s="43"/>
      <c r="ER51" s="43"/>
      <c r="ES51" s="43"/>
      <c r="ET51" s="135"/>
      <c r="EU51" s="135"/>
      <c r="EV51" s="135"/>
      <c r="EW51" s="135"/>
      <c r="EX51" s="43"/>
      <c r="EY51" s="43"/>
      <c r="EZ51" s="43"/>
      <c r="FA51" s="43"/>
      <c r="FB51" s="37">
        <f t="shared" si="16"/>
        <v>620.4</v>
      </c>
      <c r="FC51" s="37">
        <f t="shared" si="45"/>
        <v>620.4</v>
      </c>
      <c r="FD51" s="39"/>
      <c r="FE51" s="39"/>
      <c r="FF51" s="43"/>
      <c r="FG51" s="43"/>
      <c r="FH51" s="132">
        <f t="shared" si="18"/>
        <v>0</v>
      </c>
      <c r="FI51" s="132">
        <f t="shared" si="19"/>
        <v>0</v>
      </c>
      <c r="FJ51" s="39"/>
      <c r="FK51" s="39"/>
      <c r="FL51" s="43"/>
      <c r="FM51" s="43"/>
      <c r="FN51" s="43"/>
      <c r="FO51" s="43"/>
      <c r="FP51" s="43"/>
      <c r="FQ51" s="43"/>
      <c r="FR51" s="39"/>
      <c r="FS51" s="135"/>
      <c r="FT51" s="43"/>
      <c r="FU51" s="43"/>
      <c r="FV51" s="43"/>
      <c r="FW51" s="43"/>
      <c r="FX51" s="43"/>
      <c r="FY51" s="43"/>
      <c r="FZ51" s="43"/>
      <c r="GA51" s="43"/>
      <c r="GB51" s="43"/>
      <c r="GC51" s="43"/>
      <c r="GD51" s="135"/>
      <c r="GE51" s="135"/>
      <c r="GF51" s="43"/>
      <c r="GG51" s="43"/>
      <c r="GH51" s="43"/>
      <c r="GI51" s="43"/>
      <c r="GJ51" s="43"/>
      <c r="GK51" s="43"/>
      <c r="GL51" s="43"/>
      <c r="GM51" s="43"/>
      <c r="GN51" s="43"/>
      <c r="GO51" s="43"/>
      <c r="GP51" s="43"/>
      <c r="GQ51" s="43"/>
      <c r="GR51" s="43"/>
      <c r="GS51" s="43"/>
      <c r="GT51" s="43"/>
      <c r="GU51" s="43"/>
      <c r="GV51" s="43"/>
      <c r="GW51" s="43"/>
      <c r="GX51" s="45"/>
      <c r="GY51" s="45"/>
      <c r="GZ51" s="43"/>
      <c r="HA51" s="43"/>
      <c r="HB51" s="43"/>
      <c r="HC51" s="43"/>
      <c r="HD51" s="39">
        <f t="shared" si="20"/>
        <v>0</v>
      </c>
      <c r="HE51" s="39">
        <f t="shared" si="46"/>
        <v>0</v>
      </c>
      <c r="HF51" s="39"/>
      <c r="HG51" s="39"/>
      <c r="HH51" s="39"/>
      <c r="HI51" s="43"/>
      <c r="HJ51" s="43"/>
      <c r="HK51" s="43"/>
      <c r="HL51" s="43"/>
      <c r="HM51" s="43"/>
      <c r="HN51" s="136"/>
      <c r="HO51" s="136"/>
      <c r="HP51" s="39">
        <f t="shared" si="22"/>
        <v>0</v>
      </c>
      <c r="HQ51" s="39">
        <f t="shared" si="47"/>
        <v>0</v>
      </c>
      <c r="HR51" s="39"/>
      <c r="HS51" s="39"/>
      <c r="HT51" s="39"/>
      <c r="HU51" s="43"/>
      <c r="HV51" s="39"/>
      <c r="HW51" s="39"/>
      <c r="HX51" s="39">
        <f t="shared" si="24"/>
        <v>0</v>
      </c>
      <c r="HY51" s="39">
        <f t="shared" si="48"/>
        <v>0</v>
      </c>
    </row>
    <row r="52" spans="1:233" ht="12.75" customHeight="1">
      <c r="A52" s="15" t="s">
        <v>138</v>
      </c>
      <c r="B52" s="39"/>
      <c r="C52" s="39"/>
      <c r="D52" s="39">
        <f>269+269+268+224+224+224+224+224+224+179+179+179</f>
        <v>2687</v>
      </c>
      <c r="E52" s="39">
        <f>269+269+268+224+224+224+224+224+224+179+179+179</f>
        <v>2687</v>
      </c>
      <c r="F52" s="39"/>
      <c r="G52" s="39"/>
      <c r="H52" s="39"/>
      <c r="I52" s="39"/>
      <c r="J52" s="39"/>
      <c r="K52" s="39"/>
      <c r="L52" s="34"/>
      <c r="M52" s="34"/>
      <c r="N52" s="34"/>
      <c r="O52" s="34"/>
      <c r="P52" s="34"/>
      <c r="Q52" s="34"/>
      <c r="R52" s="39"/>
      <c r="S52" s="39"/>
      <c r="T52" s="39">
        <v>20.457240000000002</v>
      </c>
      <c r="U52" s="39">
        <v>20.45724</v>
      </c>
      <c r="V52" s="39"/>
      <c r="W52" s="34"/>
      <c r="X52" s="34"/>
      <c r="Y52" s="34"/>
      <c r="Z52" s="34"/>
      <c r="AA52" s="34"/>
      <c r="AB52" s="34"/>
      <c r="AC52" s="34"/>
      <c r="AD52" s="39"/>
      <c r="AE52" s="39"/>
      <c r="AF52" s="39">
        <v>147</v>
      </c>
      <c r="AG52" s="39">
        <f>12.3+12.3+12.3+12.3+12.3+12.3+9+9+12.3+14.5+15+13.4</f>
        <v>147</v>
      </c>
      <c r="AH52" s="126">
        <f t="shared" si="5"/>
        <v>2854.45724</v>
      </c>
      <c r="AI52" s="126">
        <f t="shared" si="42"/>
        <v>2854.45724</v>
      </c>
      <c r="AJ52" s="43"/>
      <c r="AK52" s="43"/>
      <c r="AL52" s="134"/>
      <c r="AM52" s="41"/>
      <c r="AN52" s="41"/>
      <c r="AO52" s="41"/>
      <c r="AP52" s="41"/>
      <c r="AQ52" s="41"/>
      <c r="AR52" s="39"/>
      <c r="AS52" s="39"/>
      <c r="AT52" s="43"/>
      <c r="AU52" s="43"/>
      <c r="AV52" s="43"/>
      <c r="AW52" s="43"/>
      <c r="AX52" s="43"/>
      <c r="AY52" s="43"/>
      <c r="AZ52" s="39">
        <f t="shared" si="7"/>
        <v>0</v>
      </c>
      <c r="BA52" s="39">
        <f t="shared" si="8"/>
        <v>0</v>
      </c>
      <c r="BB52" s="39">
        <v>0</v>
      </c>
      <c r="BC52" s="39">
        <v>0</v>
      </c>
      <c r="BD52" s="39">
        <v>51</v>
      </c>
      <c r="BE52" s="43">
        <v>51</v>
      </c>
      <c r="BF52" s="43"/>
      <c r="BG52" s="43"/>
      <c r="BH52" s="43"/>
      <c r="BI52" s="43"/>
      <c r="BJ52" s="43"/>
      <c r="BK52" s="43"/>
      <c r="BL52" s="43"/>
      <c r="BM52" s="43"/>
      <c r="BN52" s="45"/>
      <c r="BO52" s="45"/>
      <c r="BP52" s="45"/>
      <c r="BQ52" s="45"/>
      <c r="BR52" s="43"/>
      <c r="BS52" s="43"/>
      <c r="BT52" s="43"/>
      <c r="BU52" s="43"/>
      <c r="BV52" s="45"/>
      <c r="BW52" s="45"/>
      <c r="BX52" s="43"/>
      <c r="BY52" s="45"/>
      <c r="BZ52" s="43"/>
      <c r="CA52" s="45"/>
      <c r="CB52" s="45"/>
      <c r="CC52" s="45"/>
      <c r="CD52" s="45"/>
      <c r="CE52" s="45"/>
      <c r="CF52" s="39">
        <f t="shared" si="9"/>
        <v>51</v>
      </c>
      <c r="CG52" s="39">
        <f t="shared" si="43"/>
        <v>51</v>
      </c>
      <c r="CH52" s="39"/>
      <c r="CI52" s="39"/>
      <c r="CJ52" s="39"/>
      <c r="CK52" s="45"/>
      <c r="CL52" s="45"/>
      <c r="CM52" s="43"/>
      <c r="CN52" s="43"/>
      <c r="CO52" s="43"/>
      <c r="CP52" s="43"/>
      <c r="CQ52" s="39"/>
      <c r="CR52" s="43"/>
      <c r="CS52" s="45"/>
      <c r="CT52" s="45"/>
      <c r="CU52" s="43"/>
      <c r="CV52" s="43"/>
      <c r="CW52" s="43"/>
      <c r="CX52" s="43"/>
      <c r="CY52" s="43"/>
      <c r="CZ52" s="39"/>
      <c r="DA52" s="45"/>
      <c r="DB52" s="45"/>
      <c r="DC52" s="45"/>
      <c r="DD52" s="45"/>
      <c r="DE52" s="45"/>
      <c r="DF52" s="39">
        <f t="shared" si="11"/>
        <v>0</v>
      </c>
      <c r="DG52" s="39">
        <f t="shared" si="44"/>
        <v>0</v>
      </c>
      <c r="DH52" s="39"/>
      <c r="DI52" s="39"/>
      <c r="DJ52" s="39">
        <v>0</v>
      </c>
      <c r="DK52" s="39">
        <f t="shared" si="13"/>
        <v>0</v>
      </c>
      <c r="DL52" s="39"/>
      <c r="DM52" s="39"/>
      <c r="DN52" s="43"/>
      <c r="DO52" s="43"/>
      <c r="DP52" s="39">
        <f t="shared" si="14"/>
        <v>0</v>
      </c>
      <c r="DQ52" s="39">
        <f t="shared" si="15"/>
        <v>0</v>
      </c>
      <c r="DR52" s="39"/>
      <c r="DS52" s="39"/>
      <c r="DT52" s="43"/>
      <c r="DU52" s="43"/>
      <c r="DV52" s="43"/>
      <c r="DW52" s="43"/>
      <c r="DX52" s="43"/>
      <c r="DY52" s="43"/>
      <c r="DZ52" s="39"/>
      <c r="EA52" s="39"/>
      <c r="EB52" s="43"/>
      <c r="EC52" s="43"/>
      <c r="ED52" s="43"/>
      <c r="EE52" s="43"/>
      <c r="EF52" s="39"/>
      <c r="EG52" s="43"/>
      <c r="EH52" s="43">
        <v>462</v>
      </c>
      <c r="EI52" s="39">
        <v>462</v>
      </c>
      <c r="EJ52" s="39">
        <v>57</v>
      </c>
      <c r="EK52" s="43">
        <v>57</v>
      </c>
      <c r="EL52" s="43"/>
      <c r="EM52" s="43"/>
      <c r="EN52" s="45"/>
      <c r="EO52" s="45"/>
      <c r="EP52" s="43"/>
      <c r="EQ52" s="43"/>
      <c r="ER52" s="43"/>
      <c r="ES52" s="43"/>
      <c r="ET52" s="135"/>
      <c r="EU52" s="135"/>
      <c r="EV52" s="135"/>
      <c r="EW52" s="135"/>
      <c r="EX52" s="43"/>
      <c r="EY52" s="43"/>
      <c r="EZ52" s="43"/>
      <c r="FA52" s="43"/>
      <c r="FB52" s="37">
        <f t="shared" si="16"/>
        <v>519</v>
      </c>
      <c r="FC52" s="37">
        <f t="shared" si="45"/>
        <v>519</v>
      </c>
      <c r="FD52" s="39"/>
      <c r="FE52" s="39"/>
      <c r="FF52" s="43"/>
      <c r="FG52" s="43"/>
      <c r="FH52" s="132">
        <f t="shared" si="18"/>
        <v>0</v>
      </c>
      <c r="FI52" s="132">
        <f t="shared" si="19"/>
        <v>0</v>
      </c>
      <c r="FJ52" s="39"/>
      <c r="FK52" s="39"/>
      <c r="FL52" s="43"/>
      <c r="FM52" s="43"/>
      <c r="FN52" s="43"/>
      <c r="FO52" s="43"/>
      <c r="FP52" s="43"/>
      <c r="FQ52" s="43"/>
      <c r="FR52" s="39"/>
      <c r="FS52" s="135"/>
      <c r="FT52" s="43"/>
      <c r="FU52" s="43"/>
      <c r="FV52" s="43"/>
      <c r="FW52" s="43"/>
      <c r="FX52" s="43"/>
      <c r="FY52" s="43"/>
      <c r="FZ52" s="43"/>
      <c r="GA52" s="43"/>
      <c r="GB52" s="43"/>
      <c r="GC52" s="43"/>
      <c r="GD52" s="135"/>
      <c r="GE52" s="135"/>
      <c r="GF52" s="43"/>
      <c r="GG52" s="43"/>
      <c r="GH52" s="43"/>
      <c r="GI52" s="43"/>
      <c r="GJ52" s="43"/>
      <c r="GK52" s="43"/>
      <c r="GL52" s="43"/>
      <c r="GM52" s="43"/>
      <c r="GN52" s="43"/>
      <c r="GO52" s="43"/>
      <c r="GP52" s="43"/>
      <c r="GQ52" s="43"/>
      <c r="GR52" s="43"/>
      <c r="GS52" s="43"/>
      <c r="GT52" s="43"/>
      <c r="GU52" s="43"/>
      <c r="GV52" s="43"/>
      <c r="GW52" s="43"/>
      <c r="GX52" s="45"/>
      <c r="GY52" s="45"/>
      <c r="GZ52" s="43"/>
      <c r="HA52" s="43"/>
      <c r="HB52" s="43"/>
      <c r="HC52" s="43"/>
      <c r="HD52" s="39">
        <f t="shared" si="20"/>
        <v>0</v>
      </c>
      <c r="HE52" s="39">
        <f t="shared" si="46"/>
        <v>0</v>
      </c>
      <c r="HF52" s="39"/>
      <c r="HG52" s="39"/>
      <c r="HH52" s="39"/>
      <c r="HI52" s="43"/>
      <c r="HJ52" s="43"/>
      <c r="HK52" s="43"/>
      <c r="HL52" s="43"/>
      <c r="HM52" s="43"/>
      <c r="HN52" s="136"/>
      <c r="HO52" s="136"/>
      <c r="HP52" s="39">
        <f t="shared" si="22"/>
        <v>0</v>
      </c>
      <c r="HQ52" s="39">
        <f t="shared" si="47"/>
        <v>0</v>
      </c>
      <c r="HR52" s="39"/>
      <c r="HS52" s="39"/>
      <c r="HT52" s="39"/>
      <c r="HU52" s="43"/>
      <c r="HV52" s="39"/>
      <c r="HW52" s="39"/>
      <c r="HX52" s="39">
        <f t="shared" si="24"/>
        <v>0</v>
      </c>
      <c r="HY52" s="39">
        <f t="shared" si="48"/>
        <v>0</v>
      </c>
    </row>
    <row r="53" spans="1:233" ht="12.75">
      <c r="A53" s="15" t="s">
        <v>137</v>
      </c>
      <c r="B53" s="39"/>
      <c r="C53" s="39"/>
      <c r="D53" s="39">
        <f>278+278+277+232+232+231+232+232+231+185+185+185</f>
        <v>2778</v>
      </c>
      <c r="E53" s="39">
        <f>278+278+277+232+232+231+232+232+231+185+185+185</f>
        <v>2778</v>
      </c>
      <c r="F53" s="39"/>
      <c r="G53" s="39"/>
      <c r="H53" s="39"/>
      <c r="I53" s="39"/>
      <c r="J53" s="39"/>
      <c r="K53" s="39"/>
      <c r="L53" s="34"/>
      <c r="M53" s="34"/>
      <c r="N53" s="34"/>
      <c r="O53" s="34"/>
      <c r="P53" s="34"/>
      <c r="Q53" s="34"/>
      <c r="R53" s="39">
        <v>25</v>
      </c>
      <c r="S53" s="39">
        <v>25</v>
      </c>
      <c r="T53" s="39">
        <v>795.5632099999999</v>
      </c>
      <c r="U53" s="39">
        <f>8.42121+787.142</f>
        <v>795.56321</v>
      </c>
      <c r="V53" s="39"/>
      <c r="W53" s="34"/>
      <c r="X53" s="34"/>
      <c r="Y53" s="34"/>
      <c r="Z53" s="34"/>
      <c r="AA53" s="34"/>
      <c r="AB53" s="34"/>
      <c r="AC53" s="34"/>
      <c r="AD53" s="39">
        <v>2007</v>
      </c>
      <c r="AE53" s="39">
        <v>2007</v>
      </c>
      <c r="AF53" s="39">
        <v>147</v>
      </c>
      <c r="AG53" s="39">
        <f>12.3+12.3+12.3+12.3+12.3+5+11.5+12+13+14.5+15+14.5</f>
        <v>147</v>
      </c>
      <c r="AH53" s="126">
        <f t="shared" si="5"/>
        <v>5752.56321</v>
      </c>
      <c r="AI53" s="126">
        <f t="shared" si="42"/>
        <v>5752.56321</v>
      </c>
      <c r="AJ53" s="43"/>
      <c r="AK53" s="43"/>
      <c r="AL53" s="134"/>
      <c r="AM53" s="41"/>
      <c r="AN53" s="41"/>
      <c r="AO53" s="41"/>
      <c r="AP53" s="41"/>
      <c r="AQ53" s="41"/>
      <c r="AR53" s="39"/>
      <c r="AS53" s="39"/>
      <c r="AT53" s="43"/>
      <c r="AU53" s="43"/>
      <c r="AV53" s="43"/>
      <c r="AW53" s="43"/>
      <c r="AX53" s="43"/>
      <c r="AY53" s="43"/>
      <c r="AZ53" s="39">
        <f t="shared" si="7"/>
        <v>0</v>
      </c>
      <c r="BA53" s="39">
        <f t="shared" si="8"/>
        <v>0</v>
      </c>
      <c r="BB53" s="39">
        <v>0</v>
      </c>
      <c r="BC53" s="39">
        <v>0</v>
      </c>
      <c r="BD53" s="39"/>
      <c r="BE53" s="43"/>
      <c r="BF53" s="43"/>
      <c r="BG53" s="43"/>
      <c r="BH53" s="43"/>
      <c r="BI53" s="43"/>
      <c r="BJ53" s="43"/>
      <c r="BK53" s="43"/>
      <c r="BL53" s="43"/>
      <c r="BM53" s="43"/>
      <c r="BN53" s="45"/>
      <c r="BO53" s="45"/>
      <c r="BP53" s="45"/>
      <c r="BQ53" s="45"/>
      <c r="BR53" s="43"/>
      <c r="BS53" s="43"/>
      <c r="BT53" s="43"/>
      <c r="BU53" s="43"/>
      <c r="BV53" s="45"/>
      <c r="BW53" s="45"/>
      <c r="BX53" s="43"/>
      <c r="BY53" s="45"/>
      <c r="BZ53" s="43"/>
      <c r="CA53" s="45"/>
      <c r="CB53" s="45"/>
      <c r="CC53" s="45"/>
      <c r="CD53" s="45"/>
      <c r="CE53" s="45"/>
      <c r="CF53" s="39">
        <f t="shared" si="9"/>
        <v>0</v>
      </c>
      <c r="CG53" s="39">
        <f t="shared" si="43"/>
        <v>0</v>
      </c>
      <c r="CH53" s="39"/>
      <c r="CI53" s="39"/>
      <c r="CJ53" s="39"/>
      <c r="CK53" s="45"/>
      <c r="CL53" s="45"/>
      <c r="CM53" s="43"/>
      <c r="CN53" s="43"/>
      <c r="CO53" s="43"/>
      <c r="CP53" s="43"/>
      <c r="CQ53" s="39"/>
      <c r="CR53" s="43"/>
      <c r="CS53" s="45"/>
      <c r="CT53" s="49"/>
      <c r="CU53" s="50"/>
      <c r="CV53" s="50"/>
      <c r="CW53" s="43"/>
      <c r="CX53" s="43"/>
      <c r="CY53" s="43"/>
      <c r="CZ53" s="39"/>
      <c r="DA53" s="45"/>
      <c r="DB53" s="45"/>
      <c r="DC53" s="45"/>
      <c r="DD53" s="45"/>
      <c r="DE53" s="45"/>
      <c r="DF53" s="39">
        <f t="shared" si="11"/>
        <v>0</v>
      </c>
      <c r="DG53" s="39">
        <f t="shared" si="44"/>
        <v>0</v>
      </c>
      <c r="DH53" s="39"/>
      <c r="DI53" s="39"/>
      <c r="DJ53" s="39">
        <v>0</v>
      </c>
      <c r="DK53" s="39">
        <f t="shared" si="13"/>
        <v>0</v>
      </c>
      <c r="DL53" s="39"/>
      <c r="DM53" s="39"/>
      <c r="DN53" s="43"/>
      <c r="DO53" s="43"/>
      <c r="DP53" s="39">
        <f t="shared" si="14"/>
        <v>0</v>
      </c>
      <c r="DQ53" s="39">
        <f t="shared" si="15"/>
        <v>0</v>
      </c>
      <c r="DR53" s="39"/>
      <c r="DS53" s="39"/>
      <c r="DT53" s="43"/>
      <c r="DU53" s="43"/>
      <c r="DV53" s="43"/>
      <c r="DW53" s="43"/>
      <c r="DX53" s="43"/>
      <c r="DY53" s="43"/>
      <c r="DZ53" s="39"/>
      <c r="EA53" s="39"/>
      <c r="EB53" s="43"/>
      <c r="EC53" s="43"/>
      <c r="ED53" s="43"/>
      <c r="EE53" s="43"/>
      <c r="EF53" s="39">
        <v>706.7</v>
      </c>
      <c r="EG53" s="43">
        <v>599.02794</v>
      </c>
      <c r="EH53" s="43">
        <v>282.3</v>
      </c>
      <c r="EI53" s="39">
        <v>282.3</v>
      </c>
      <c r="EJ53" s="39">
        <v>88</v>
      </c>
      <c r="EK53" s="43">
        <v>88</v>
      </c>
      <c r="EL53" s="43"/>
      <c r="EM53" s="43"/>
      <c r="EN53" s="45"/>
      <c r="EO53" s="45"/>
      <c r="EP53" s="43"/>
      <c r="EQ53" s="43"/>
      <c r="ER53" s="43"/>
      <c r="ES53" s="43"/>
      <c r="ET53" s="135"/>
      <c r="EU53" s="135"/>
      <c r="EV53" s="135"/>
      <c r="EW53" s="135"/>
      <c r="EX53" s="43"/>
      <c r="EY53" s="43"/>
      <c r="EZ53" s="43"/>
      <c r="FA53" s="43"/>
      <c r="FB53" s="37">
        <f t="shared" si="16"/>
        <v>1077</v>
      </c>
      <c r="FC53" s="37">
        <f t="shared" si="45"/>
        <v>969.3279399999999</v>
      </c>
      <c r="FD53" s="39"/>
      <c r="FE53" s="39"/>
      <c r="FF53" s="43"/>
      <c r="FG53" s="43"/>
      <c r="FH53" s="132">
        <f t="shared" si="18"/>
        <v>0</v>
      </c>
      <c r="FI53" s="132">
        <f t="shared" si="19"/>
        <v>0</v>
      </c>
      <c r="FJ53" s="39"/>
      <c r="FK53" s="39"/>
      <c r="FL53" s="43"/>
      <c r="FM53" s="43"/>
      <c r="FN53" s="43"/>
      <c r="FO53" s="43"/>
      <c r="FP53" s="43"/>
      <c r="FQ53" s="43"/>
      <c r="FR53" s="39"/>
      <c r="FS53" s="135"/>
      <c r="FT53" s="43"/>
      <c r="FU53" s="43"/>
      <c r="FV53" s="43"/>
      <c r="FW53" s="43"/>
      <c r="FX53" s="43"/>
      <c r="FY53" s="43"/>
      <c r="FZ53" s="43"/>
      <c r="GA53" s="43"/>
      <c r="GB53" s="43"/>
      <c r="GC53" s="43"/>
      <c r="GD53" s="135"/>
      <c r="GE53" s="135"/>
      <c r="GF53" s="43"/>
      <c r="GG53" s="43"/>
      <c r="GH53" s="43"/>
      <c r="GI53" s="43"/>
      <c r="GJ53" s="43"/>
      <c r="GK53" s="43"/>
      <c r="GL53" s="43"/>
      <c r="GM53" s="43"/>
      <c r="GN53" s="43"/>
      <c r="GO53" s="43"/>
      <c r="GP53" s="43"/>
      <c r="GQ53" s="43"/>
      <c r="GR53" s="43"/>
      <c r="GS53" s="43"/>
      <c r="GT53" s="43"/>
      <c r="GU53" s="43"/>
      <c r="GV53" s="43"/>
      <c r="GW53" s="43"/>
      <c r="GX53" s="45"/>
      <c r="GY53" s="45"/>
      <c r="GZ53" s="43"/>
      <c r="HA53" s="43"/>
      <c r="HB53" s="43"/>
      <c r="HC53" s="43"/>
      <c r="HD53" s="39">
        <f t="shared" si="20"/>
        <v>0</v>
      </c>
      <c r="HE53" s="39">
        <f t="shared" si="46"/>
        <v>0</v>
      </c>
      <c r="HF53" s="39"/>
      <c r="HG53" s="39"/>
      <c r="HH53" s="39"/>
      <c r="HI53" s="43"/>
      <c r="HJ53" s="43"/>
      <c r="HK53" s="43"/>
      <c r="HL53" s="43"/>
      <c r="HM53" s="43"/>
      <c r="HN53" s="136"/>
      <c r="HO53" s="136"/>
      <c r="HP53" s="39">
        <f t="shared" si="22"/>
        <v>0</v>
      </c>
      <c r="HQ53" s="39">
        <f t="shared" si="47"/>
        <v>0</v>
      </c>
      <c r="HR53" s="39"/>
      <c r="HS53" s="39"/>
      <c r="HT53" s="39"/>
      <c r="HU53" s="43"/>
      <c r="HV53" s="39"/>
      <c r="HW53" s="39"/>
      <c r="HX53" s="39">
        <f t="shared" si="24"/>
        <v>0</v>
      </c>
      <c r="HY53" s="39">
        <f t="shared" si="48"/>
        <v>0</v>
      </c>
    </row>
    <row r="54" spans="1:233" ht="12.75" customHeight="1">
      <c r="A54" s="15" t="s">
        <v>136</v>
      </c>
      <c r="B54" s="39"/>
      <c r="C54" s="39"/>
      <c r="D54" s="39">
        <f>948+948+948+790+790+790+790+790+790+631.7+631.7+631.6</f>
        <v>9479.000000000002</v>
      </c>
      <c r="E54" s="39">
        <f>948+948+948+790+790+790+790+790+790+631.7+631.7+631.6</f>
        <v>9479.000000000002</v>
      </c>
      <c r="F54" s="39"/>
      <c r="G54" s="39"/>
      <c r="H54" s="39"/>
      <c r="I54" s="39"/>
      <c r="J54" s="39"/>
      <c r="K54" s="39"/>
      <c r="L54" s="34"/>
      <c r="M54" s="34"/>
      <c r="N54" s="34"/>
      <c r="O54" s="34"/>
      <c r="P54" s="34"/>
      <c r="Q54" s="34"/>
      <c r="R54" s="39">
        <v>95</v>
      </c>
      <c r="S54" s="39">
        <f>94.57072</f>
        <v>94.57072</v>
      </c>
      <c r="T54" s="39">
        <v>31.66545</v>
      </c>
      <c r="U54" s="39">
        <v>31.66545</v>
      </c>
      <c r="V54" s="39">
        <v>86.21</v>
      </c>
      <c r="W54" s="39">
        <f>21.3+64.91</f>
        <v>86.21</v>
      </c>
      <c r="X54" s="34"/>
      <c r="Y54" s="34"/>
      <c r="Z54" s="34"/>
      <c r="AA54" s="34"/>
      <c r="AB54" s="34"/>
      <c r="AC54" s="34"/>
      <c r="AD54" s="39">
        <v>1911</v>
      </c>
      <c r="AE54" s="39">
        <v>1911</v>
      </c>
      <c r="AF54" s="39">
        <v>147</v>
      </c>
      <c r="AG54" s="39">
        <f>12.3+12.3+12.3+12.3+12.3+6.2+23.8+6.9+13.5+9.9+10+15.2</f>
        <v>147</v>
      </c>
      <c r="AH54" s="126">
        <f t="shared" si="5"/>
        <v>11749.875450000001</v>
      </c>
      <c r="AI54" s="126">
        <f t="shared" si="42"/>
        <v>11749.446170000001</v>
      </c>
      <c r="AJ54" s="43"/>
      <c r="AK54" s="43"/>
      <c r="AL54" s="134"/>
      <c r="AM54" s="41"/>
      <c r="AN54" s="41"/>
      <c r="AO54" s="41"/>
      <c r="AP54" s="41"/>
      <c r="AQ54" s="41"/>
      <c r="AR54" s="39"/>
      <c r="AS54" s="39"/>
      <c r="AT54" s="43"/>
      <c r="AU54" s="43"/>
      <c r="AV54" s="43"/>
      <c r="AW54" s="43"/>
      <c r="AX54" s="43"/>
      <c r="AY54" s="43"/>
      <c r="AZ54" s="39">
        <f t="shared" si="7"/>
        <v>0</v>
      </c>
      <c r="BA54" s="39">
        <f t="shared" si="8"/>
        <v>0</v>
      </c>
      <c r="BB54" s="39">
        <v>0</v>
      </c>
      <c r="BC54" s="39">
        <v>0</v>
      </c>
      <c r="BD54" s="39"/>
      <c r="BE54" s="43"/>
      <c r="BF54" s="43"/>
      <c r="BG54" s="43"/>
      <c r="BH54" s="43"/>
      <c r="BI54" s="43"/>
      <c r="BJ54" s="43"/>
      <c r="BK54" s="43"/>
      <c r="BL54" s="43"/>
      <c r="BM54" s="43"/>
      <c r="BN54" s="45"/>
      <c r="BO54" s="45"/>
      <c r="BP54" s="45"/>
      <c r="BQ54" s="45"/>
      <c r="BR54" s="43"/>
      <c r="BS54" s="43"/>
      <c r="BT54" s="43"/>
      <c r="BU54" s="43"/>
      <c r="BV54" s="45"/>
      <c r="BW54" s="45"/>
      <c r="BX54" s="43"/>
      <c r="BY54" s="45"/>
      <c r="BZ54" s="43"/>
      <c r="CA54" s="45"/>
      <c r="CB54" s="45"/>
      <c r="CC54" s="45"/>
      <c r="CD54" s="45"/>
      <c r="CE54" s="45"/>
      <c r="CF54" s="39">
        <f t="shared" si="9"/>
        <v>0</v>
      </c>
      <c r="CG54" s="39">
        <f t="shared" si="43"/>
        <v>0</v>
      </c>
      <c r="CH54" s="39"/>
      <c r="CI54" s="39"/>
      <c r="CJ54" s="39"/>
      <c r="CK54" s="45"/>
      <c r="CL54" s="45"/>
      <c r="CM54" s="43"/>
      <c r="CN54" s="43"/>
      <c r="CO54" s="43"/>
      <c r="CP54" s="43"/>
      <c r="CQ54" s="39"/>
      <c r="CR54" s="43"/>
      <c r="CS54" s="45"/>
      <c r="CT54" s="45"/>
      <c r="CU54" s="43"/>
      <c r="CV54" s="43"/>
      <c r="CW54" s="43"/>
      <c r="CX54" s="43"/>
      <c r="CY54" s="43"/>
      <c r="CZ54" s="39"/>
      <c r="DA54" s="45"/>
      <c r="DB54" s="45"/>
      <c r="DC54" s="45"/>
      <c r="DD54" s="45"/>
      <c r="DE54" s="45"/>
      <c r="DF54" s="39">
        <f t="shared" si="11"/>
        <v>0</v>
      </c>
      <c r="DG54" s="39">
        <f t="shared" si="44"/>
        <v>0</v>
      </c>
      <c r="DH54" s="39"/>
      <c r="DI54" s="39"/>
      <c r="DJ54" s="39">
        <v>0</v>
      </c>
      <c r="DK54" s="39">
        <f t="shared" si="13"/>
        <v>0</v>
      </c>
      <c r="DL54" s="39"/>
      <c r="DM54" s="39"/>
      <c r="DN54" s="43"/>
      <c r="DO54" s="43"/>
      <c r="DP54" s="39">
        <f t="shared" si="14"/>
        <v>0</v>
      </c>
      <c r="DQ54" s="39">
        <f t="shared" si="15"/>
        <v>0</v>
      </c>
      <c r="DR54" s="39"/>
      <c r="DS54" s="39"/>
      <c r="DT54" s="43"/>
      <c r="DU54" s="43"/>
      <c r="DV54" s="43"/>
      <c r="DW54" s="43"/>
      <c r="DX54" s="43"/>
      <c r="DY54" s="43"/>
      <c r="DZ54" s="39"/>
      <c r="EA54" s="39"/>
      <c r="EB54" s="43"/>
      <c r="EC54" s="43"/>
      <c r="ED54" s="43"/>
      <c r="EE54" s="43"/>
      <c r="EF54" s="39"/>
      <c r="EG54" s="43"/>
      <c r="EH54" s="43">
        <v>512</v>
      </c>
      <c r="EI54" s="39">
        <v>512</v>
      </c>
      <c r="EJ54" s="39">
        <v>98</v>
      </c>
      <c r="EK54" s="43">
        <v>98</v>
      </c>
      <c r="EL54" s="43"/>
      <c r="EM54" s="43"/>
      <c r="EN54" s="45"/>
      <c r="EO54" s="45"/>
      <c r="EP54" s="43"/>
      <c r="EQ54" s="43"/>
      <c r="ER54" s="43"/>
      <c r="ES54" s="43"/>
      <c r="ET54" s="135"/>
      <c r="EU54" s="135"/>
      <c r="EV54" s="135"/>
      <c r="EW54" s="135"/>
      <c r="EX54" s="43"/>
      <c r="EY54" s="43"/>
      <c r="EZ54" s="43"/>
      <c r="FA54" s="43"/>
      <c r="FB54" s="37">
        <f t="shared" si="16"/>
        <v>610</v>
      </c>
      <c r="FC54" s="37">
        <f t="shared" si="45"/>
        <v>610</v>
      </c>
      <c r="FD54" s="39"/>
      <c r="FE54" s="39"/>
      <c r="FF54" s="43"/>
      <c r="FG54" s="43"/>
      <c r="FH54" s="132">
        <f t="shared" si="18"/>
        <v>0</v>
      </c>
      <c r="FI54" s="132">
        <f t="shared" si="19"/>
        <v>0</v>
      </c>
      <c r="FJ54" s="39"/>
      <c r="FK54" s="39"/>
      <c r="FL54" s="43"/>
      <c r="FM54" s="43"/>
      <c r="FN54" s="43"/>
      <c r="FO54" s="43"/>
      <c r="FP54" s="43"/>
      <c r="FQ54" s="43"/>
      <c r="FR54" s="39"/>
      <c r="FS54" s="135"/>
      <c r="FT54" s="43"/>
      <c r="FU54" s="43"/>
      <c r="FV54" s="43"/>
      <c r="FW54" s="43"/>
      <c r="FX54" s="43"/>
      <c r="FY54" s="43"/>
      <c r="FZ54" s="43"/>
      <c r="GA54" s="43"/>
      <c r="GB54" s="43"/>
      <c r="GC54" s="43"/>
      <c r="GD54" s="135"/>
      <c r="GE54" s="135"/>
      <c r="GF54" s="43"/>
      <c r="GG54" s="43"/>
      <c r="GH54" s="43"/>
      <c r="GI54" s="43"/>
      <c r="GJ54" s="43"/>
      <c r="GK54" s="43"/>
      <c r="GL54" s="43"/>
      <c r="GM54" s="43"/>
      <c r="GN54" s="43"/>
      <c r="GO54" s="43"/>
      <c r="GP54" s="43"/>
      <c r="GQ54" s="43"/>
      <c r="GR54" s="43"/>
      <c r="GS54" s="43"/>
      <c r="GT54" s="43"/>
      <c r="GU54" s="43"/>
      <c r="GV54" s="43"/>
      <c r="GW54" s="43"/>
      <c r="GX54" s="45"/>
      <c r="GY54" s="45"/>
      <c r="GZ54" s="43"/>
      <c r="HA54" s="43"/>
      <c r="HB54" s="43"/>
      <c r="HC54" s="43"/>
      <c r="HD54" s="39">
        <f t="shared" si="20"/>
        <v>0</v>
      </c>
      <c r="HE54" s="39">
        <f t="shared" si="46"/>
        <v>0</v>
      </c>
      <c r="HF54" s="39"/>
      <c r="HG54" s="39"/>
      <c r="HH54" s="39"/>
      <c r="HI54" s="43"/>
      <c r="HJ54" s="43"/>
      <c r="HK54" s="43"/>
      <c r="HL54" s="43"/>
      <c r="HM54" s="43"/>
      <c r="HN54" s="136"/>
      <c r="HO54" s="136"/>
      <c r="HP54" s="39">
        <f t="shared" si="22"/>
        <v>0</v>
      </c>
      <c r="HQ54" s="39">
        <f t="shared" si="47"/>
        <v>0</v>
      </c>
      <c r="HR54" s="39"/>
      <c r="HS54" s="39"/>
      <c r="HT54" s="39"/>
      <c r="HU54" s="43"/>
      <c r="HV54" s="39"/>
      <c r="HW54" s="39"/>
      <c r="HX54" s="39">
        <f t="shared" si="24"/>
        <v>0</v>
      </c>
      <c r="HY54" s="39">
        <f t="shared" si="48"/>
        <v>0</v>
      </c>
    </row>
    <row r="55" spans="1:233" ht="12.75">
      <c r="A55" s="15" t="s">
        <v>234</v>
      </c>
      <c r="B55" s="39"/>
      <c r="C55" s="39"/>
      <c r="D55" s="39">
        <f>295+295+296+246+246+246+246+246+246+197+197+197</f>
        <v>2953</v>
      </c>
      <c r="E55" s="39">
        <f>295+295+296+246+246+246+246+246+246+197+197+197</f>
        <v>2953</v>
      </c>
      <c r="F55" s="39"/>
      <c r="G55" s="39"/>
      <c r="H55" s="39"/>
      <c r="I55" s="39"/>
      <c r="J55" s="39"/>
      <c r="K55" s="39"/>
      <c r="L55" s="34"/>
      <c r="M55" s="34"/>
      <c r="N55" s="34"/>
      <c r="O55" s="34"/>
      <c r="P55" s="34"/>
      <c r="Q55" s="34"/>
      <c r="R55" s="39">
        <v>85</v>
      </c>
      <c r="S55" s="39">
        <f>82.44012</f>
        <v>82.44012</v>
      </c>
      <c r="T55" s="39">
        <v>925.08339</v>
      </c>
      <c r="U55" s="39">
        <f>53.05339+865.821</f>
        <v>918.8743900000001</v>
      </c>
      <c r="V55" s="39"/>
      <c r="W55" s="34"/>
      <c r="X55" s="34"/>
      <c r="Y55" s="34"/>
      <c r="Z55" s="34"/>
      <c r="AA55" s="34"/>
      <c r="AB55" s="34"/>
      <c r="AC55" s="34"/>
      <c r="AD55" s="39"/>
      <c r="AE55" s="39"/>
      <c r="AF55" s="39">
        <v>147</v>
      </c>
      <c r="AG55" s="39">
        <f>12.3+12.3+12.3+12.3+12.3+3.6+18.2+6.4+12+12.2+10+23.1</f>
        <v>147</v>
      </c>
      <c r="AH55" s="126">
        <f t="shared" si="5"/>
        <v>4110.08339</v>
      </c>
      <c r="AI55" s="126">
        <f t="shared" si="42"/>
        <v>4101.31451</v>
      </c>
      <c r="AJ55" s="43"/>
      <c r="AK55" s="43"/>
      <c r="AL55" s="134"/>
      <c r="AM55" s="41"/>
      <c r="AN55" s="41"/>
      <c r="AO55" s="41"/>
      <c r="AP55" s="41"/>
      <c r="AQ55" s="41"/>
      <c r="AR55" s="39"/>
      <c r="AS55" s="39"/>
      <c r="AT55" s="43"/>
      <c r="AU55" s="43"/>
      <c r="AV55" s="43"/>
      <c r="AW55" s="43"/>
      <c r="AX55" s="43"/>
      <c r="AY55" s="43"/>
      <c r="AZ55" s="39">
        <f t="shared" si="7"/>
        <v>0</v>
      </c>
      <c r="BA55" s="39">
        <f t="shared" si="8"/>
        <v>0</v>
      </c>
      <c r="BB55" s="39">
        <v>0</v>
      </c>
      <c r="BC55" s="39">
        <v>0</v>
      </c>
      <c r="BD55" s="39"/>
      <c r="BE55" s="43"/>
      <c r="BF55" s="43"/>
      <c r="BG55" s="43"/>
      <c r="BH55" s="43"/>
      <c r="BI55" s="43"/>
      <c r="BJ55" s="43"/>
      <c r="BK55" s="43"/>
      <c r="BL55" s="43"/>
      <c r="BM55" s="43"/>
      <c r="BN55" s="45"/>
      <c r="BO55" s="45"/>
      <c r="BP55" s="45"/>
      <c r="BQ55" s="45"/>
      <c r="BR55" s="43"/>
      <c r="BS55" s="43"/>
      <c r="BT55" s="43"/>
      <c r="BU55" s="43"/>
      <c r="BV55" s="45"/>
      <c r="BW55" s="45"/>
      <c r="BX55" s="43"/>
      <c r="BY55" s="45"/>
      <c r="BZ55" s="43"/>
      <c r="CA55" s="45"/>
      <c r="CB55" s="45"/>
      <c r="CC55" s="45"/>
      <c r="CD55" s="45"/>
      <c r="CE55" s="45"/>
      <c r="CF55" s="39">
        <f t="shared" si="9"/>
        <v>0</v>
      </c>
      <c r="CG55" s="39">
        <f t="shared" si="43"/>
        <v>0</v>
      </c>
      <c r="CH55" s="39"/>
      <c r="CI55" s="39"/>
      <c r="CJ55" s="39"/>
      <c r="CK55" s="45"/>
      <c r="CL55" s="45"/>
      <c r="CM55" s="43"/>
      <c r="CN55" s="43"/>
      <c r="CO55" s="43"/>
      <c r="CP55" s="43"/>
      <c r="CQ55" s="39"/>
      <c r="CR55" s="43"/>
      <c r="CS55" s="45"/>
      <c r="CT55" s="45"/>
      <c r="CU55" s="43"/>
      <c r="CV55" s="43"/>
      <c r="CW55" s="43"/>
      <c r="CX55" s="43"/>
      <c r="CY55" s="43"/>
      <c r="CZ55" s="39"/>
      <c r="DA55" s="45"/>
      <c r="DB55" s="45"/>
      <c r="DC55" s="45"/>
      <c r="DD55" s="45"/>
      <c r="DE55" s="45"/>
      <c r="DF55" s="39">
        <f t="shared" si="11"/>
        <v>0</v>
      </c>
      <c r="DG55" s="39">
        <f t="shared" si="44"/>
        <v>0</v>
      </c>
      <c r="DH55" s="39"/>
      <c r="DI55" s="39"/>
      <c r="DJ55" s="39">
        <v>0</v>
      </c>
      <c r="DK55" s="39">
        <f t="shared" si="13"/>
        <v>0</v>
      </c>
      <c r="DL55" s="39"/>
      <c r="DM55" s="39"/>
      <c r="DN55" s="43"/>
      <c r="DO55" s="43"/>
      <c r="DP55" s="39">
        <f t="shared" si="14"/>
        <v>0</v>
      </c>
      <c r="DQ55" s="39">
        <f t="shared" si="15"/>
        <v>0</v>
      </c>
      <c r="DR55" s="39"/>
      <c r="DS55" s="39"/>
      <c r="DT55" s="43"/>
      <c r="DU55" s="43"/>
      <c r="DV55" s="43"/>
      <c r="DW55" s="43"/>
      <c r="DX55" s="43"/>
      <c r="DY55" s="43"/>
      <c r="DZ55" s="39"/>
      <c r="EA55" s="39"/>
      <c r="EB55" s="43"/>
      <c r="EC55" s="43"/>
      <c r="ED55" s="43"/>
      <c r="EE55" s="43"/>
      <c r="EF55" s="39"/>
      <c r="EG55" s="43"/>
      <c r="EH55" s="43">
        <v>87</v>
      </c>
      <c r="EI55" s="39">
        <v>87</v>
      </c>
      <c r="EJ55" s="39">
        <v>104</v>
      </c>
      <c r="EK55" s="43">
        <v>57.6</v>
      </c>
      <c r="EL55" s="43"/>
      <c r="EM55" s="43"/>
      <c r="EN55" s="45"/>
      <c r="EO55" s="45"/>
      <c r="EP55" s="43"/>
      <c r="EQ55" s="43"/>
      <c r="ER55" s="43"/>
      <c r="ES55" s="43"/>
      <c r="ET55" s="135"/>
      <c r="EU55" s="135"/>
      <c r="EV55" s="135"/>
      <c r="EW55" s="135"/>
      <c r="EX55" s="43">
        <v>100</v>
      </c>
      <c r="EY55" s="43">
        <v>100</v>
      </c>
      <c r="EZ55" s="43"/>
      <c r="FA55" s="43"/>
      <c r="FB55" s="37">
        <f t="shared" si="16"/>
        <v>291</v>
      </c>
      <c r="FC55" s="37">
        <f t="shared" si="45"/>
        <v>244.6</v>
      </c>
      <c r="FD55" s="39"/>
      <c r="FE55" s="39"/>
      <c r="FF55" s="43"/>
      <c r="FG55" s="43"/>
      <c r="FH55" s="132">
        <f t="shared" si="18"/>
        <v>0</v>
      </c>
      <c r="FI55" s="132">
        <f t="shared" si="19"/>
        <v>0</v>
      </c>
      <c r="FJ55" s="39"/>
      <c r="FK55" s="39"/>
      <c r="FL55" s="43"/>
      <c r="FM55" s="43"/>
      <c r="FN55" s="43"/>
      <c r="FO55" s="43"/>
      <c r="FP55" s="43"/>
      <c r="FQ55" s="43"/>
      <c r="FR55" s="39"/>
      <c r="FS55" s="135"/>
      <c r="FT55" s="43"/>
      <c r="FU55" s="43"/>
      <c r="FV55" s="43"/>
      <c r="FW55" s="43"/>
      <c r="FX55" s="43"/>
      <c r="FY55" s="43"/>
      <c r="FZ55" s="43"/>
      <c r="GA55" s="43"/>
      <c r="GB55" s="43"/>
      <c r="GC55" s="43"/>
      <c r="GD55" s="135"/>
      <c r="GE55" s="135"/>
      <c r="GF55" s="43"/>
      <c r="GG55" s="43"/>
      <c r="GH55" s="43"/>
      <c r="GI55" s="43"/>
      <c r="GJ55" s="43"/>
      <c r="GK55" s="43"/>
      <c r="GL55" s="43"/>
      <c r="GM55" s="43"/>
      <c r="GN55" s="43"/>
      <c r="GO55" s="43"/>
      <c r="GP55" s="43"/>
      <c r="GQ55" s="43"/>
      <c r="GR55" s="43"/>
      <c r="GS55" s="43"/>
      <c r="GT55" s="43"/>
      <c r="GU55" s="43"/>
      <c r="GV55" s="43"/>
      <c r="GW55" s="43"/>
      <c r="GX55" s="45"/>
      <c r="GY55" s="45"/>
      <c r="GZ55" s="43"/>
      <c r="HA55" s="43"/>
      <c r="HB55" s="43"/>
      <c r="HC55" s="43"/>
      <c r="HD55" s="39">
        <f t="shared" si="20"/>
        <v>0</v>
      </c>
      <c r="HE55" s="39">
        <f t="shared" si="46"/>
        <v>0</v>
      </c>
      <c r="HF55" s="39"/>
      <c r="HG55" s="39"/>
      <c r="HH55" s="39"/>
      <c r="HI55" s="43"/>
      <c r="HJ55" s="43"/>
      <c r="HK55" s="43"/>
      <c r="HL55" s="43"/>
      <c r="HM55" s="43"/>
      <c r="HN55" s="136"/>
      <c r="HO55" s="136"/>
      <c r="HP55" s="39">
        <f t="shared" si="22"/>
        <v>0</v>
      </c>
      <c r="HQ55" s="39">
        <f t="shared" si="47"/>
        <v>0</v>
      </c>
      <c r="HR55" s="39"/>
      <c r="HS55" s="39"/>
      <c r="HT55" s="39"/>
      <c r="HU55" s="43"/>
      <c r="HV55" s="39"/>
      <c r="HW55" s="39"/>
      <c r="HX55" s="39">
        <f t="shared" si="24"/>
        <v>0</v>
      </c>
      <c r="HY55" s="39">
        <f t="shared" si="48"/>
        <v>0</v>
      </c>
    </row>
    <row r="56" spans="1:233" ht="12.75" customHeight="1">
      <c r="A56" s="15" t="s">
        <v>235</v>
      </c>
      <c r="B56" s="39"/>
      <c r="C56" s="39"/>
      <c r="D56" s="39">
        <f>366+366+366+305+305+305+305+305+305+244.3+244.4+244.3</f>
        <v>3661.0000000000005</v>
      </c>
      <c r="E56" s="39">
        <f>366+366+366+305+305+305+305+305+305+244.3+244.4+244.3</f>
        <v>3661.0000000000005</v>
      </c>
      <c r="F56" s="39"/>
      <c r="G56" s="39"/>
      <c r="H56" s="39"/>
      <c r="I56" s="39"/>
      <c r="J56" s="39"/>
      <c r="K56" s="39"/>
      <c r="L56" s="34"/>
      <c r="M56" s="34"/>
      <c r="N56" s="34"/>
      <c r="O56" s="34"/>
      <c r="P56" s="34"/>
      <c r="Q56" s="34"/>
      <c r="R56" s="39"/>
      <c r="S56" s="39"/>
      <c r="T56" s="39"/>
      <c r="U56" s="39"/>
      <c r="V56" s="39">
        <v>737</v>
      </c>
      <c r="W56" s="34">
        <f>100+125+512</f>
        <v>737</v>
      </c>
      <c r="X56" s="34"/>
      <c r="Y56" s="34"/>
      <c r="Z56" s="34"/>
      <c r="AA56" s="34"/>
      <c r="AB56" s="34"/>
      <c r="AC56" s="34"/>
      <c r="AD56" s="39"/>
      <c r="AE56" s="39"/>
      <c r="AF56" s="39">
        <v>73</v>
      </c>
      <c r="AG56" s="39">
        <f>6.1+6.1+6.1+6.1+6.1+5.2+5+6+1.4+6+8+10.9</f>
        <v>73</v>
      </c>
      <c r="AH56" s="126">
        <f t="shared" si="5"/>
        <v>4471</v>
      </c>
      <c r="AI56" s="126">
        <f t="shared" si="42"/>
        <v>4471</v>
      </c>
      <c r="AJ56" s="43"/>
      <c r="AK56" s="43"/>
      <c r="AL56" s="134"/>
      <c r="AM56" s="41"/>
      <c r="AN56" s="41"/>
      <c r="AO56" s="41"/>
      <c r="AP56" s="41"/>
      <c r="AQ56" s="41"/>
      <c r="AR56" s="39"/>
      <c r="AS56" s="39"/>
      <c r="AT56" s="43"/>
      <c r="AU56" s="43"/>
      <c r="AV56" s="43"/>
      <c r="AW56" s="43"/>
      <c r="AX56" s="43"/>
      <c r="AY56" s="43"/>
      <c r="AZ56" s="39">
        <f t="shared" si="7"/>
        <v>0</v>
      </c>
      <c r="BA56" s="39">
        <f t="shared" si="8"/>
        <v>0</v>
      </c>
      <c r="BB56" s="39">
        <v>0</v>
      </c>
      <c r="BC56" s="39">
        <v>0</v>
      </c>
      <c r="BD56" s="39">
        <v>190</v>
      </c>
      <c r="BE56" s="43">
        <v>189.999</v>
      </c>
      <c r="BF56" s="43"/>
      <c r="BG56" s="43"/>
      <c r="BH56" s="43"/>
      <c r="BI56" s="43"/>
      <c r="BJ56" s="43"/>
      <c r="BK56" s="43"/>
      <c r="BL56" s="43"/>
      <c r="BM56" s="43"/>
      <c r="BN56" s="45"/>
      <c r="BO56" s="45"/>
      <c r="BP56" s="45"/>
      <c r="BQ56" s="45"/>
      <c r="BR56" s="43"/>
      <c r="BS56" s="43"/>
      <c r="BT56" s="43"/>
      <c r="BU56" s="43"/>
      <c r="BV56" s="45"/>
      <c r="BW56" s="45"/>
      <c r="BX56" s="43"/>
      <c r="BY56" s="45"/>
      <c r="BZ56" s="43"/>
      <c r="CA56" s="45"/>
      <c r="CB56" s="45"/>
      <c r="CC56" s="45"/>
      <c r="CD56" s="45"/>
      <c r="CE56" s="45"/>
      <c r="CF56" s="39">
        <f t="shared" si="9"/>
        <v>190</v>
      </c>
      <c r="CG56" s="39">
        <f t="shared" si="43"/>
        <v>189.999</v>
      </c>
      <c r="CH56" s="39"/>
      <c r="CI56" s="39"/>
      <c r="CJ56" s="39"/>
      <c r="CK56" s="45"/>
      <c r="CL56" s="45"/>
      <c r="CM56" s="43"/>
      <c r="CN56" s="43"/>
      <c r="CO56" s="43"/>
      <c r="CP56" s="43"/>
      <c r="CQ56" s="39"/>
      <c r="CR56" s="43"/>
      <c r="CS56" s="45"/>
      <c r="CT56" s="45"/>
      <c r="CU56" s="43"/>
      <c r="CV56" s="43"/>
      <c r="CW56" s="43"/>
      <c r="CX56" s="43"/>
      <c r="CY56" s="43"/>
      <c r="CZ56" s="39"/>
      <c r="DA56" s="45"/>
      <c r="DB56" s="45"/>
      <c r="DC56" s="45"/>
      <c r="DD56" s="45"/>
      <c r="DE56" s="45"/>
      <c r="DF56" s="39">
        <f t="shared" si="11"/>
        <v>0</v>
      </c>
      <c r="DG56" s="39">
        <f t="shared" si="44"/>
        <v>0</v>
      </c>
      <c r="DH56" s="39"/>
      <c r="DI56" s="39"/>
      <c r="DJ56" s="39">
        <v>0</v>
      </c>
      <c r="DK56" s="39">
        <f t="shared" si="13"/>
        <v>0</v>
      </c>
      <c r="DL56" s="39"/>
      <c r="DM56" s="39"/>
      <c r="DN56" s="43"/>
      <c r="DO56" s="43"/>
      <c r="DP56" s="39">
        <f t="shared" si="14"/>
        <v>0</v>
      </c>
      <c r="DQ56" s="39">
        <f t="shared" si="15"/>
        <v>0</v>
      </c>
      <c r="DR56" s="39"/>
      <c r="DS56" s="39"/>
      <c r="DT56" s="43"/>
      <c r="DU56" s="43"/>
      <c r="DV56" s="43"/>
      <c r="DW56" s="43"/>
      <c r="DX56" s="43"/>
      <c r="DY56" s="43"/>
      <c r="DZ56" s="39"/>
      <c r="EA56" s="39"/>
      <c r="EB56" s="43"/>
      <c r="EC56" s="43"/>
      <c r="ED56" s="43"/>
      <c r="EE56" s="43"/>
      <c r="EF56" s="39"/>
      <c r="EG56" s="43"/>
      <c r="EH56" s="43">
        <v>284</v>
      </c>
      <c r="EI56" s="39">
        <v>284</v>
      </c>
      <c r="EJ56" s="39">
        <v>36</v>
      </c>
      <c r="EK56" s="43">
        <v>36</v>
      </c>
      <c r="EL56" s="43"/>
      <c r="EM56" s="43"/>
      <c r="EN56" s="45"/>
      <c r="EO56" s="45"/>
      <c r="EP56" s="43"/>
      <c r="EQ56" s="43"/>
      <c r="ER56" s="43"/>
      <c r="ES56" s="43"/>
      <c r="ET56" s="135"/>
      <c r="EU56" s="135"/>
      <c r="EV56" s="135"/>
      <c r="EW56" s="135"/>
      <c r="EX56" s="43"/>
      <c r="EY56" s="43"/>
      <c r="EZ56" s="43"/>
      <c r="FA56" s="43"/>
      <c r="FB56" s="37">
        <f t="shared" si="16"/>
        <v>320</v>
      </c>
      <c r="FC56" s="37">
        <f t="shared" si="45"/>
        <v>320</v>
      </c>
      <c r="FD56" s="39"/>
      <c r="FE56" s="39"/>
      <c r="FF56" s="43"/>
      <c r="FG56" s="43"/>
      <c r="FH56" s="132">
        <f t="shared" si="18"/>
        <v>0</v>
      </c>
      <c r="FI56" s="132">
        <f t="shared" si="19"/>
        <v>0</v>
      </c>
      <c r="FJ56" s="39"/>
      <c r="FK56" s="39"/>
      <c r="FL56" s="43"/>
      <c r="FM56" s="43"/>
      <c r="FN56" s="43"/>
      <c r="FO56" s="43"/>
      <c r="FP56" s="43"/>
      <c r="FQ56" s="43"/>
      <c r="FR56" s="39"/>
      <c r="FS56" s="135"/>
      <c r="FT56" s="43"/>
      <c r="FU56" s="43"/>
      <c r="FV56" s="43"/>
      <c r="FW56" s="43"/>
      <c r="FX56" s="43"/>
      <c r="FY56" s="43"/>
      <c r="FZ56" s="43"/>
      <c r="GA56" s="43"/>
      <c r="GB56" s="43"/>
      <c r="GC56" s="43"/>
      <c r="GD56" s="135"/>
      <c r="GE56" s="135"/>
      <c r="GF56" s="43"/>
      <c r="GG56" s="43"/>
      <c r="GH56" s="43"/>
      <c r="GI56" s="43"/>
      <c r="GJ56" s="43"/>
      <c r="GK56" s="43"/>
      <c r="GL56" s="43"/>
      <c r="GM56" s="43"/>
      <c r="GN56" s="43"/>
      <c r="GO56" s="43"/>
      <c r="GP56" s="43"/>
      <c r="GQ56" s="43"/>
      <c r="GR56" s="43"/>
      <c r="GS56" s="43"/>
      <c r="GT56" s="43"/>
      <c r="GU56" s="43"/>
      <c r="GV56" s="43"/>
      <c r="GW56" s="43"/>
      <c r="GX56" s="45"/>
      <c r="GY56" s="45"/>
      <c r="GZ56" s="43"/>
      <c r="HA56" s="43"/>
      <c r="HB56" s="43"/>
      <c r="HC56" s="43"/>
      <c r="HD56" s="39">
        <f t="shared" si="20"/>
        <v>0</v>
      </c>
      <c r="HE56" s="39">
        <f t="shared" si="46"/>
        <v>0</v>
      </c>
      <c r="HF56" s="39"/>
      <c r="HG56" s="39"/>
      <c r="HH56" s="39"/>
      <c r="HI56" s="43"/>
      <c r="HJ56" s="43"/>
      <c r="HK56" s="43"/>
      <c r="HL56" s="43"/>
      <c r="HM56" s="43"/>
      <c r="HN56" s="136"/>
      <c r="HO56" s="136"/>
      <c r="HP56" s="39">
        <f t="shared" si="22"/>
        <v>0</v>
      </c>
      <c r="HQ56" s="39">
        <f t="shared" si="47"/>
        <v>0</v>
      </c>
      <c r="HR56" s="39"/>
      <c r="HS56" s="39"/>
      <c r="HT56" s="39"/>
      <c r="HU56" s="43"/>
      <c r="HV56" s="39"/>
      <c r="HW56" s="39"/>
      <c r="HX56" s="39">
        <f t="shared" si="24"/>
        <v>0</v>
      </c>
      <c r="HY56" s="39">
        <f t="shared" si="48"/>
        <v>0</v>
      </c>
    </row>
    <row r="57" spans="1:233" ht="12.75">
      <c r="A57" s="15" t="s">
        <v>236</v>
      </c>
      <c r="B57" s="39"/>
      <c r="C57" s="39"/>
      <c r="D57" s="39">
        <f>199+199+200+166+166+167+166+166+167+132.7+132.7+132.6</f>
        <v>1994</v>
      </c>
      <c r="E57" s="39">
        <f>199+199+200+166+166+167+166+166+167+132.7+132.7+132.6</f>
        <v>1994</v>
      </c>
      <c r="F57" s="39"/>
      <c r="G57" s="39"/>
      <c r="H57" s="39"/>
      <c r="I57" s="39"/>
      <c r="J57" s="39">
        <v>1583.3</v>
      </c>
      <c r="K57" s="39">
        <v>1583.3</v>
      </c>
      <c r="L57" s="34"/>
      <c r="M57" s="34"/>
      <c r="N57" s="34"/>
      <c r="O57" s="34"/>
      <c r="P57" s="34"/>
      <c r="Q57" s="34"/>
      <c r="R57" s="39"/>
      <c r="S57" s="39"/>
      <c r="T57" s="39"/>
      <c r="U57" s="39"/>
      <c r="V57" s="39"/>
      <c r="W57" s="34"/>
      <c r="X57" s="34"/>
      <c r="Y57" s="34"/>
      <c r="Z57" s="34"/>
      <c r="AA57" s="34"/>
      <c r="AB57" s="34"/>
      <c r="AC57" s="34"/>
      <c r="AD57" s="39">
        <v>2020</v>
      </c>
      <c r="AE57" s="39">
        <v>2020</v>
      </c>
      <c r="AF57" s="39">
        <v>147</v>
      </c>
      <c r="AG57" s="39">
        <f>12.3+12.3+12.3+12.3+12.3+4.7+16.4+6.4+8+17.6+17+15.4</f>
        <v>147</v>
      </c>
      <c r="AH57" s="126">
        <f t="shared" si="5"/>
        <v>5744.3</v>
      </c>
      <c r="AI57" s="126">
        <f t="shared" si="42"/>
        <v>5744.3</v>
      </c>
      <c r="AJ57" s="43"/>
      <c r="AK57" s="43"/>
      <c r="AL57" s="134"/>
      <c r="AM57" s="41"/>
      <c r="AN57" s="41"/>
      <c r="AO57" s="41"/>
      <c r="AP57" s="41"/>
      <c r="AQ57" s="41"/>
      <c r="AR57" s="39"/>
      <c r="AS57" s="39"/>
      <c r="AT57" s="43"/>
      <c r="AU57" s="43"/>
      <c r="AV57" s="43"/>
      <c r="AW57" s="43"/>
      <c r="AX57" s="43"/>
      <c r="AY57" s="43"/>
      <c r="AZ57" s="39">
        <f t="shared" si="7"/>
        <v>0</v>
      </c>
      <c r="BA57" s="39">
        <f t="shared" si="8"/>
        <v>0</v>
      </c>
      <c r="BB57" s="39">
        <v>0</v>
      </c>
      <c r="BC57" s="39">
        <v>0</v>
      </c>
      <c r="BD57" s="39">
        <v>236.2</v>
      </c>
      <c r="BE57" s="43">
        <v>236.2</v>
      </c>
      <c r="BF57" s="43"/>
      <c r="BG57" s="43"/>
      <c r="BH57" s="43"/>
      <c r="BI57" s="43"/>
      <c r="BJ57" s="43"/>
      <c r="BK57" s="43"/>
      <c r="BL57" s="43"/>
      <c r="BM57" s="43"/>
      <c r="BN57" s="45"/>
      <c r="BO57" s="45"/>
      <c r="BP57" s="45"/>
      <c r="BQ57" s="45"/>
      <c r="BR57" s="43"/>
      <c r="BS57" s="43"/>
      <c r="BT57" s="43"/>
      <c r="BU57" s="43"/>
      <c r="BV57" s="45"/>
      <c r="BW57" s="45"/>
      <c r="BX57" s="43"/>
      <c r="BY57" s="45"/>
      <c r="BZ57" s="43"/>
      <c r="CA57" s="45"/>
      <c r="CB57" s="45"/>
      <c r="CC57" s="45"/>
      <c r="CD57" s="45"/>
      <c r="CE57" s="45"/>
      <c r="CF57" s="39">
        <f t="shared" si="9"/>
        <v>236.2</v>
      </c>
      <c r="CG57" s="39">
        <f t="shared" si="43"/>
        <v>236.2</v>
      </c>
      <c r="CH57" s="39"/>
      <c r="CI57" s="39"/>
      <c r="CJ57" s="39"/>
      <c r="CK57" s="45"/>
      <c r="CL57" s="45"/>
      <c r="CM57" s="43"/>
      <c r="CN57" s="43"/>
      <c r="CO57" s="43"/>
      <c r="CP57" s="43">
        <v>206.402</v>
      </c>
      <c r="CQ57" s="43">
        <v>206.402</v>
      </c>
      <c r="CR57" s="43">
        <v>2187.38</v>
      </c>
      <c r="CS57" s="43">
        <v>2187.38</v>
      </c>
      <c r="CT57" s="43"/>
      <c r="CU57" s="43"/>
      <c r="CV57" s="43"/>
      <c r="CW57" s="43"/>
      <c r="CX57" s="43"/>
      <c r="CY57" s="43"/>
      <c r="CZ57" s="39">
        <v>14.26</v>
      </c>
      <c r="DA57" s="39">
        <v>14.26</v>
      </c>
      <c r="DB57" s="39"/>
      <c r="DC57" s="39"/>
      <c r="DD57" s="45"/>
      <c r="DE57" s="45"/>
      <c r="DF57" s="39">
        <f t="shared" si="11"/>
        <v>2408.042</v>
      </c>
      <c r="DG57" s="39">
        <f t="shared" si="44"/>
        <v>2408.042</v>
      </c>
      <c r="DH57" s="39"/>
      <c r="DI57" s="39"/>
      <c r="DJ57" s="39">
        <v>0</v>
      </c>
      <c r="DK57" s="39">
        <f t="shared" si="13"/>
        <v>0</v>
      </c>
      <c r="DL57" s="39"/>
      <c r="DM57" s="39"/>
      <c r="DN57" s="43"/>
      <c r="DO57" s="43"/>
      <c r="DP57" s="39">
        <f t="shared" si="14"/>
        <v>0</v>
      </c>
      <c r="DQ57" s="39">
        <f t="shared" si="15"/>
        <v>0</v>
      </c>
      <c r="DR57" s="39"/>
      <c r="DS57" s="39"/>
      <c r="DT57" s="43"/>
      <c r="DU57" s="43"/>
      <c r="DV57" s="43"/>
      <c r="DW57" s="43"/>
      <c r="DX57" s="43"/>
      <c r="DY57" s="43"/>
      <c r="DZ57" s="39"/>
      <c r="EA57" s="39"/>
      <c r="EB57" s="43"/>
      <c r="EC57" s="43"/>
      <c r="ED57" s="43"/>
      <c r="EE57" s="43"/>
      <c r="EF57" s="39"/>
      <c r="EG57" s="43"/>
      <c r="EH57" s="43">
        <v>1400</v>
      </c>
      <c r="EI57" s="39">
        <v>1400</v>
      </c>
      <c r="EJ57" s="39">
        <v>126</v>
      </c>
      <c r="EK57" s="43">
        <v>113.03</v>
      </c>
      <c r="EL57" s="43"/>
      <c r="EM57" s="43"/>
      <c r="EN57" s="45"/>
      <c r="EO57" s="45"/>
      <c r="EP57" s="43"/>
      <c r="EQ57" s="43"/>
      <c r="ER57" s="43"/>
      <c r="ES57" s="43"/>
      <c r="ET57" s="135"/>
      <c r="EU57" s="135"/>
      <c r="EV57" s="135"/>
      <c r="EW57" s="135"/>
      <c r="EX57" s="43"/>
      <c r="EY57" s="43"/>
      <c r="EZ57" s="43"/>
      <c r="FA57" s="43"/>
      <c r="FB57" s="37">
        <f t="shared" si="16"/>
        <v>1526</v>
      </c>
      <c r="FC57" s="37">
        <f t="shared" si="45"/>
        <v>1513.03</v>
      </c>
      <c r="FD57" s="39"/>
      <c r="FE57" s="39"/>
      <c r="FF57" s="43"/>
      <c r="FG57" s="43"/>
      <c r="FH57" s="132">
        <f t="shared" si="18"/>
        <v>0</v>
      </c>
      <c r="FI57" s="132">
        <f t="shared" si="19"/>
        <v>0</v>
      </c>
      <c r="FJ57" s="39"/>
      <c r="FK57" s="39"/>
      <c r="FL57" s="43"/>
      <c r="FM57" s="43"/>
      <c r="FN57" s="43"/>
      <c r="FO57" s="43"/>
      <c r="FP57" s="43"/>
      <c r="FQ57" s="43"/>
      <c r="FR57" s="39"/>
      <c r="FS57" s="135"/>
      <c r="FT57" s="43"/>
      <c r="FU57" s="43"/>
      <c r="FV57" s="43"/>
      <c r="FW57" s="43"/>
      <c r="FX57" s="43"/>
      <c r="FY57" s="43"/>
      <c r="FZ57" s="43"/>
      <c r="GA57" s="43"/>
      <c r="GB57" s="43"/>
      <c r="GC57" s="43"/>
      <c r="GD57" s="135"/>
      <c r="GE57" s="135"/>
      <c r="GF57" s="43"/>
      <c r="GG57" s="43"/>
      <c r="GH57" s="43"/>
      <c r="GI57" s="43"/>
      <c r="GJ57" s="43"/>
      <c r="GK57" s="43"/>
      <c r="GL57" s="43"/>
      <c r="GM57" s="43"/>
      <c r="GN57" s="43"/>
      <c r="GO57" s="43"/>
      <c r="GP57" s="43"/>
      <c r="GQ57" s="43"/>
      <c r="GR57" s="43"/>
      <c r="GS57" s="43"/>
      <c r="GT57" s="43"/>
      <c r="GU57" s="43"/>
      <c r="GV57" s="43"/>
      <c r="GW57" s="43"/>
      <c r="GX57" s="45"/>
      <c r="GY57" s="45"/>
      <c r="GZ57" s="43"/>
      <c r="HA57" s="43"/>
      <c r="HB57" s="43"/>
      <c r="HC57" s="43"/>
      <c r="HD57" s="39">
        <f t="shared" si="20"/>
        <v>0</v>
      </c>
      <c r="HE57" s="39">
        <f t="shared" si="46"/>
        <v>0</v>
      </c>
      <c r="HF57" s="39"/>
      <c r="HG57" s="39"/>
      <c r="HH57" s="39"/>
      <c r="HI57" s="43"/>
      <c r="HJ57" s="43"/>
      <c r="HK57" s="43"/>
      <c r="HL57" s="43"/>
      <c r="HM57" s="43"/>
      <c r="HN57" s="136"/>
      <c r="HO57" s="136"/>
      <c r="HP57" s="39">
        <f t="shared" si="22"/>
        <v>0</v>
      </c>
      <c r="HQ57" s="39">
        <f t="shared" si="47"/>
        <v>0</v>
      </c>
      <c r="HR57" s="39"/>
      <c r="HS57" s="39"/>
      <c r="HT57" s="39"/>
      <c r="HU57" s="43"/>
      <c r="HV57" s="39"/>
      <c r="HW57" s="39"/>
      <c r="HX57" s="39">
        <f t="shared" si="24"/>
        <v>0</v>
      </c>
      <c r="HY57" s="39">
        <f t="shared" si="48"/>
        <v>0</v>
      </c>
    </row>
    <row r="58" spans="1:233" ht="12.75" customHeight="1">
      <c r="A58" s="15" t="s">
        <v>237</v>
      </c>
      <c r="B58" s="39"/>
      <c r="C58" s="39"/>
      <c r="D58" s="39">
        <f>264+264+265+220+220+221+220+220+221+176+176+176</f>
        <v>2643</v>
      </c>
      <c r="E58" s="39">
        <f>264+264+265+220+220+221+220+220+221+176+176+176</f>
        <v>2643</v>
      </c>
      <c r="F58" s="39"/>
      <c r="G58" s="39"/>
      <c r="H58" s="39"/>
      <c r="I58" s="39"/>
      <c r="J58" s="39">
        <v>1583.5</v>
      </c>
      <c r="K58" s="39">
        <v>1583.5</v>
      </c>
      <c r="L58" s="34"/>
      <c r="M58" s="34"/>
      <c r="N58" s="34"/>
      <c r="O58" s="34"/>
      <c r="P58" s="34"/>
      <c r="Q58" s="34"/>
      <c r="R58" s="39"/>
      <c r="S58" s="39"/>
      <c r="T58" s="39"/>
      <c r="U58" s="39"/>
      <c r="V58" s="39"/>
      <c r="W58" s="34"/>
      <c r="X58" s="34"/>
      <c r="Y58" s="34"/>
      <c r="Z58" s="34"/>
      <c r="AA58" s="34"/>
      <c r="AB58" s="34"/>
      <c r="AC58" s="34"/>
      <c r="AD58" s="39"/>
      <c r="AE58" s="39"/>
      <c r="AF58" s="39">
        <v>73</v>
      </c>
      <c r="AG58" s="39">
        <f>6.1+6.1+6.1+6.1+6.1+5+4.4+4.4+7.3+8+13.4</f>
        <v>73</v>
      </c>
      <c r="AH58" s="126">
        <f t="shared" si="5"/>
        <v>4299.5</v>
      </c>
      <c r="AI58" s="126">
        <f t="shared" si="42"/>
        <v>4299.5</v>
      </c>
      <c r="AJ58" s="43"/>
      <c r="AK58" s="43"/>
      <c r="AL58" s="134"/>
      <c r="AM58" s="41"/>
      <c r="AN58" s="41"/>
      <c r="AO58" s="41"/>
      <c r="AP58" s="41"/>
      <c r="AQ58" s="41"/>
      <c r="AR58" s="39"/>
      <c r="AS58" s="39"/>
      <c r="AT58" s="43"/>
      <c r="AU58" s="43"/>
      <c r="AV58" s="43"/>
      <c r="AW58" s="43"/>
      <c r="AX58" s="43"/>
      <c r="AY58" s="43"/>
      <c r="AZ58" s="39">
        <f t="shared" si="7"/>
        <v>0</v>
      </c>
      <c r="BA58" s="39">
        <f t="shared" si="8"/>
        <v>0</v>
      </c>
      <c r="BB58" s="39">
        <v>0</v>
      </c>
      <c r="BC58" s="39">
        <v>0</v>
      </c>
      <c r="BD58" s="39"/>
      <c r="BE58" s="43"/>
      <c r="BF58" s="43"/>
      <c r="BG58" s="43"/>
      <c r="BH58" s="43"/>
      <c r="BI58" s="43"/>
      <c r="BJ58" s="43"/>
      <c r="BK58" s="43"/>
      <c r="BL58" s="43"/>
      <c r="BM58" s="43"/>
      <c r="BN58" s="45"/>
      <c r="BO58" s="45"/>
      <c r="BP58" s="45"/>
      <c r="BQ58" s="45"/>
      <c r="BR58" s="43"/>
      <c r="BS58" s="43"/>
      <c r="BT58" s="43"/>
      <c r="BU58" s="43"/>
      <c r="BV58" s="45"/>
      <c r="BW58" s="45"/>
      <c r="BX58" s="43"/>
      <c r="BY58" s="45"/>
      <c r="BZ58" s="43"/>
      <c r="CA58" s="45"/>
      <c r="CB58" s="45"/>
      <c r="CC58" s="45"/>
      <c r="CD58" s="45"/>
      <c r="CE58" s="45"/>
      <c r="CF58" s="39">
        <f t="shared" si="9"/>
        <v>0</v>
      </c>
      <c r="CG58" s="39">
        <f t="shared" si="43"/>
        <v>0</v>
      </c>
      <c r="CH58" s="39"/>
      <c r="CI58" s="39"/>
      <c r="CJ58" s="39"/>
      <c r="CK58" s="45"/>
      <c r="CL58" s="45"/>
      <c r="CM58" s="43"/>
      <c r="CN58" s="43"/>
      <c r="CO58" s="43"/>
      <c r="CP58" s="43"/>
      <c r="CQ58" s="39"/>
      <c r="CR58" s="43"/>
      <c r="CS58" s="45"/>
      <c r="CT58" s="45"/>
      <c r="CU58" s="45"/>
      <c r="CV58" s="45"/>
      <c r="CW58" s="43"/>
      <c r="CX58" s="43"/>
      <c r="CY58" s="43"/>
      <c r="CZ58" s="39"/>
      <c r="DA58" s="45"/>
      <c r="DB58" s="45"/>
      <c r="DC58" s="45"/>
      <c r="DD58" s="45"/>
      <c r="DE58" s="45"/>
      <c r="DF58" s="39">
        <f t="shared" si="11"/>
        <v>0</v>
      </c>
      <c r="DG58" s="39">
        <f t="shared" si="44"/>
        <v>0</v>
      </c>
      <c r="DH58" s="39"/>
      <c r="DI58" s="39"/>
      <c r="DJ58" s="39">
        <v>0</v>
      </c>
      <c r="DK58" s="39">
        <f t="shared" si="13"/>
        <v>0</v>
      </c>
      <c r="DL58" s="39"/>
      <c r="DM58" s="39"/>
      <c r="DN58" s="43"/>
      <c r="DO58" s="43"/>
      <c r="DP58" s="39">
        <f t="shared" si="14"/>
        <v>0</v>
      </c>
      <c r="DQ58" s="39">
        <f t="shared" si="15"/>
        <v>0</v>
      </c>
      <c r="DR58" s="39"/>
      <c r="DS58" s="39"/>
      <c r="DT58" s="43"/>
      <c r="DU58" s="43"/>
      <c r="DV58" s="43"/>
      <c r="DW58" s="43"/>
      <c r="DX58" s="43"/>
      <c r="DY58" s="43"/>
      <c r="DZ58" s="39"/>
      <c r="EA58" s="39"/>
      <c r="EB58" s="43"/>
      <c r="EC58" s="43"/>
      <c r="ED58" s="43"/>
      <c r="EE58" s="43"/>
      <c r="EF58" s="39"/>
      <c r="EG58" s="43"/>
      <c r="EH58" s="43">
        <v>1209.5</v>
      </c>
      <c r="EI58" s="39">
        <v>1209.5</v>
      </c>
      <c r="EJ58" s="39">
        <v>87</v>
      </c>
      <c r="EK58" s="43">
        <v>76</v>
      </c>
      <c r="EL58" s="43"/>
      <c r="EM58" s="43"/>
      <c r="EN58" s="45"/>
      <c r="EO58" s="45"/>
      <c r="EP58" s="43"/>
      <c r="EQ58" s="43"/>
      <c r="ER58" s="43"/>
      <c r="ES58" s="43"/>
      <c r="ET58" s="135"/>
      <c r="EU58" s="135"/>
      <c r="EV58" s="135"/>
      <c r="EW58" s="135"/>
      <c r="EX58" s="43"/>
      <c r="EY58" s="43"/>
      <c r="EZ58" s="43"/>
      <c r="FA58" s="43"/>
      <c r="FB58" s="37">
        <f t="shared" si="16"/>
        <v>1296.5</v>
      </c>
      <c r="FC58" s="37">
        <f t="shared" si="45"/>
        <v>1285.5</v>
      </c>
      <c r="FD58" s="39"/>
      <c r="FE58" s="39"/>
      <c r="FF58" s="43"/>
      <c r="FG58" s="43"/>
      <c r="FH58" s="132">
        <f t="shared" si="18"/>
        <v>0</v>
      </c>
      <c r="FI58" s="132">
        <f t="shared" si="19"/>
        <v>0</v>
      </c>
      <c r="FJ58" s="39"/>
      <c r="FK58" s="39"/>
      <c r="FL58" s="43"/>
      <c r="FM58" s="43"/>
      <c r="FN58" s="43"/>
      <c r="FO58" s="43"/>
      <c r="FP58" s="43"/>
      <c r="FQ58" s="43"/>
      <c r="FR58" s="39"/>
      <c r="FS58" s="135"/>
      <c r="FT58" s="43"/>
      <c r="FU58" s="43"/>
      <c r="FV58" s="43"/>
      <c r="FW58" s="43"/>
      <c r="FX58" s="43"/>
      <c r="FY58" s="43"/>
      <c r="FZ58" s="43"/>
      <c r="GA58" s="43"/>
      <c r="GB58" s="43"/>
      <c r="GC58" s="43"/>
      <c r="GD58" s="135"/>
      <c r="GE58" s="135"/>
      <c r="GF58" s="43"/>
      <c r="GG58" s="43"/>
      <c r="GH58" s="43"/>
      <c r="GI58" s="43"/>
      <c r="GJ58" s="43"/>
      <c r="GK58" s="43"/>
      <c r="GL58" s="43"/>
      <c r="GM58" s="43"/>
      <c r="GN58" s="43"/>
      <c r="GO58" s="43"/>
      <c r="GP58" s="43"/>
      <c r="GQ58" s="43"/>
      <c r="GR58" s="43"/>
      <c r="GS58" s="43"/>
      <c r="GT58" s="43"/>
      <c r="GU58" s="43"/>
      <c r="GV58" s="43"/>
      <c r="GW58" s="43"/>
      <c r="GX58" s="45"/>
      <c r="GY58" s="45"/>
      <c r="GZ58" s="43"/>
      <c r="HA58" s="43"/>
      <c r="HB58" s="43"/>
      <c r="HC58" s="43"/>
      <c r="HD58" s="39">
        <f t="shared" si="20"/>
        <v>0</v>
      </c>
      <c r="HE58" s="39">
        <f t="shared" si="46"/>
        <v>0</v>
      </c>
      <c r="HF58" s="39"/>
      <c r="HG58" s="39"/>
      <c r="HH58" s="39"/>
      <c r="HI58" s="43"/>
      <c r="HJ58" s="43"/>
      <c r="HK58" s="43"/>
      <c r="HL58" s="43"/>
      <c r="HM58" s="43"/>
      <c r="HN58" s="136"/>
      <c r="HO58" s="136"/>
      <c r="HP58" s="39">
        <f t="shared" si="22"/>
        <v>0</v>
      </c>
      <c r="HQ58" s="39">
        <f t="shared" si="47"/>
        <v>0</v>
      </c>
      <c r="HR58" s="39"/>
      <c r="HS58" s="39"/>
      <c r="HT58" s="39"/>
      <c r="HU58" s="43"/>
      <c r="HV58" s="39"/>
      <c r="HW58" s="39"/>
      <c r="HX58" s="39">
        <f t="shared" si="24"/>
        <v>0</v>
      </c>
      <c r="HY58" s="39">
        <f t="shared" si="48"/>
        <v>0</v>
      </c>
    </row>
    <row r="59" spans="1:233" ht="12.75">
      <c r="A59" s="15" t="s">
        <v>238</v>
      </c>
      <c r="B59" s="39"/>
      <c r="C59" s="39"/>
      <c r="D59" s="39">
        <f>122+122+123+102+102+102+102+102+102+81.7+81.7+81.6</f>
        <v>1224</v>
      </c>
      <c r="E59" s="39">
        <f>122+122+123+102+102+102+102+102+102+81.7+81.7+81.6</f>
        <v>1224</v>
      </c>
      <c r="F59" s="39"/>
      <c r="G59" s="39"/>
      <c r="H59" s="39"/>
      <c r="I59" s="39"/>
      <c r="J59" s="39"/>
      <c r="K59" s="39"/>
      <c r="L59" s="34"/>
      <c r="M59" s="34"/>
      <c r="N59" s="34"/>
      <c r="O59" s="34"/>
      <c r="P59" s="34"/>
      <c r="Q59" s="34"/>
      <c r="R59" s="39">
        <v>115</v>
      </c>
      <c r="S59" s="39">
        <f>115</f>
        <v>115</v>
      </c>
      <c r="T59" s="39">
        <v>36.54121</v>
      </c>
      <c r="U59" s="39">
        <v>36.54121</v>
      </c>
      <c r="V59" s="39"/>
      <c r="W59" s="34"/>
      <c r="X59" s="34"/>
      <c r="Y59" s="34"/>
      <c r="Z59" s="34"/>
      <c r="AA59" s="34"/>
      <c r="AB59" s="34"/>
      <c r="AC59" s="34"/>
      <c r="AD59" s="34"/>
      <c r="AE59" s="34"/>
      <c r="AF59" s="39">
        <v>73</v>
      </c>
      <c r="AG59" s="39">
        <f>6.1+6.1+6.1+6.1+6.1+5.2+3.2+1.3+4.4+5+23.4</f>
        <v>73</v>
      </c>
      <c r="AH59" s="126">
        <f t="shared" si="5"/>
        <v>1448.54121</v>
      </c>
      <c r="AI59" s="126">
        <f t="shared" si="42"/>
        <v>1448.54121</v>
      </c>
      <c r="AJ59" s="43"/>
      <c r="AK59" s="43"/>
      <c r="AL59" s="134"/>
      <c r="AM59" s="41"/>
      <c r="AN59" s="41"/>
      <c r="AO59" s="41"/>
      <c r="AP59" s="41"/>
      <c r="AQ59" s="41"/>
      <c r="AR59" s="39"/>
      <c r="AS59" s="39"/>
      <c r="AT59" s="43"/>
      <c r="AU59" s="43"/>
      <c r="AV59" s="43"/>
      <c r="AW59" s="43"/>
      <c r="AX59" s="43"/>
      <c r="AY59" s="43"/>
      <c r="AZ59" s="39">
        <f t="shared" si="7"/>
        <v>0</v>
      </c>
      <c r="BA59" s="39">
        <f t="shared" si="8"/>
        <v>0</v>
      </c>
      <c r="BB59" s="39">
        <v>0</v>
      </c>
      <c r="BC59" s="39">
        <v>0</v>
      </c>
      <c r="BD59" s="39">
        <v>135.15</v>
      </c>
      <c r="BE59" s="43">
        <v>134.603</v>
      </c>
      <c r="BF59" s="43"/>
      <c r="BG59" s="43"/>
      <c r="BH59" s="43"/>
      <c r="BI59" s="43"/>
      <c r="BJ59" s="43"/>
      <c r="BK59" s="43"/>
      <c r="BL59" s="43"/>
      <c r="BM59" s="43"/>
      <c r="BN59" s="45"/>
      <c r="BO59" s="45"/>
      <c r="BP59" s="45"/>
      <c r="BQ59" s="45"/>
      <c r="BR59" s="43"/>
      <c r="BS59" s="43"/>
      <c r="BT59" s="43"/>
      <c r="BU59" s="43"/>
      <c r="BV59" s="45"/>
      <c r="BW59" s="45"/>
      <c r="BX59" s="43"/>
      <c r="BY59" s="45"/>
      <c r="BZ59" s="43"/>
      <c r="CA59" s="45"/>
      <c r="CB59" s="45"/>
      <c r="CC59" s="45"/>
      <c r="CD59" s="45"/>
      <c r="CE59" s="45"/>
      <c r="CF59" s="39">
        <f t="shared" si="9"/>
        <v>135.15</v>
      </c>
      <c r="CG59" s="39">
        <f t="shared" si="43"/>
        <v>134.603</v>
      </c>
      <c r="CH59" s="39"/>
      <c r="CI59" s="39"/>
      <c r="CJ59" s="39"/>
      <c r="CK59" s="45"/>
      <c r="CL59" s="45"/>
      <c r="CM59" s="43"/>
      <c r="CN59" s="43"/>
      <c r="CO59" s="43"/>
      <c r="CP59" s="43"/>
      <c r="CQ59" s="39"/>
      <c r="CR59" s="43"/>
      <c r="CS59" s="45"/>
      <c r="CT59" s="45"/>
      <c r="CU59" s="45"/>
      <c r="CV59" s="45"/>
      <c r="CW59" s="43"/>
      <c r="CX59" s="43"/>
      <c r="CY59" s="43"/>
      <c r="CZ59" s="39"/>
      <c r="DA59" s="45"/>
      <c r="DB59" s="45"/>
      <c r="DC59" s="45"/>
      <c r="DD59" s="45"/>
      <c r="DE59" s="45"/>
      <c r="DF59" s="39">
        <f t="shared" si="11"/>
        <v>0</v>
      </c>
      <c r="DG59" s="39">
        <f t="shared" si="44"/>
        <v>0</v>
      </c>
      <c r="DH59" s="39"/>
      <c r="DI59" s="39"/>
      <c r="DJ59" s="39">
        <v>0</v>
      </c>
      <c r="DK59" s="39">
        <f t="shared" si="13"/>
        <v>0</v>
      </c>
      <c r="DL59" s="39"/>
      <c r="DM59" s="39"/>
      <c r="DN59" s="43"/>
      <c r="DO59" s="43"/>
      <c r="DP59" s="39">
        <f t="shared" si="14"/>
        <v>0</v>
      </c>
      <c r="DQ59" s="39">
        <f t="shared" si="15"/>
        <v>0</v>
      </c>
      <c r="DR59" s="39"/>
      <c r="DS59" s="39"/>
      <c r="DT59" s="43"/>
      <c r="DU59" s="43"/>
      <c r="DV59" s="43"/>
      <c r="DW59" s="43"/>
      <c r="DX59" s="43"/>
      <c r="DY59" s="43"/>
      <c r="DZ59" s="39"/>
      <c r="EA59" s="39"/>
      <c r="EB59" s="43"/>
      <c r="EC59" s="43"/>
      <c r="ED59" s="43"/>
      <c r="EE59" s="43"/>
      <c r="EF59" s="39"/>
      <c r="EG59" s="43"/>
      <c r="EH59" s="43">
        <v>333</v>
      </c>
      <c r="EI59" s="39">
        <v>333</v>
      </c>
      <c r="EJ59" s="39">
        <v>59</v>
      </c>
      <c r="EK59" s="43">
        <v>51</v>
      </c>
      <c r="EL59" s="43"/>
      <c r="EM59" s="43"/>
      <c r="EN59" s="45"/>
      <c r="EO59" s="45"/>
      <c r="EP59" s="43"/>
      <c r="EQ59" s="43"/>
      <c r="ER59" s="43"/>
      <c r="ES59" s="43"/>
      <c r="ET59" s="135"/>
      <c r="EU59" s="135"/>
      <c r="EV59" s="135"/>
      <c r="EW59" s="135"/>
      <c r="EX59" s="43"/>
      <c r="EY59" s="43"/>
      <c r="EZ59" s="43"/>
      <c r="FA59" s="43"/>
      <c r="FB59" s="37">
        <f t="shared" si="16"/>
        <v>392</v>
      </c>
      <c r="FC59" s="37">
        <f t="shared" si="45"/>
        <v>384</v>
      </c>
      <c r="FD59" s="39"/>
      <c r="FE59" s="39"/>
      <c r="FF59" s="43"/>
      <c r="FG59" s="43"/>
      <c r="FH59" s="132">
        <f t="shared" si="18"/>
        <v>0</v>
      </c>
      <c r="FI59" s="132">
        <f t="shared" si="19"/>
        <v>0</v>
      </c>
      <c r="FJ59" s="39"/>
      <c r="FK59" s="39"/>
      <c r="FL59" s="43"/>
      <c r="FM59" s="43"/>
      <c r="FN59" s="43"/>
      <c r="FO59" s="43"/>
      <c r="FP59" s="43"/>
      <c r="FQ59" s="43"/>
      <c r="FR59" s="39"/>
      <c r="FS59" s="135"/>
      <c r="FT59" s="43"/>
      <c r="FU59" s="43"/>
      <c r="FV59" s="43"/>
      <c r="FW59" s="43"/>
      <c r="FX59" s="43"/>
      <c r="FY59" s="43"/>
      <c r="FZ59" s="43"/>
      <c r="GA59" s="43"/>
      <c r="GB59" s="43"/>
      <c r="GC59" s="43"/>
      <c r="GD59" s="135"/>
      <c r="GE59" s="135"/>
      <c r="GF59" s="43"/>
      <c r="GG59" s="43"/>
      <c r="GH59" s="43"/>
      <c r="GI59" s="43"/>
      <c r="GJ59" s="43"/>
      <c r="GK59" s="43"/>
      <c r="GL59" s="43"/>
      <c r="GM59" s="43"/>
      <c r="GN59" s="43"/>
      <c r="GO59" s="43"/>
      <c r="GP59" s="43"/>
      <c r="GQ59" s="43"/>
      <c r="GR59" s="43"/>
      <c r="GS59" s="43"/>
      <c r="GT59" s="43"/>
      <c r="GU59" s="43"/>
      <c r="GV59" s="43"/>
      <c r="GW59" s="43"/>
      <c r="GX59" s="45"/>
      <c r="GY59" s="45"/>
      <c r="GZ59" s="43"/>
      <c r="HA59" s="43"/>
      <c r="HB59" s="43"/>
      <c r="HC59" s="43"/>
      <c r="HD59" s="39">
        <f t="shared" si="20"/>
        <v>0</v>
      </c>
      <c r="HE59" s="39">
        <f t="shared" si="46"/>
        <v>0</v>
      </c>
      <c r="HF59" s="39"/>
      <c r="HG59" s="39"/>
      <c r="HH59" s="39"/>
      <c r="HI59" s="43"/>
      <c r="HJ59" s="43"/>
      <c r="HK59" s="43"/>
      <c r="HL59" s="43"/>
      <c r="HM59" s="43"/>
      <c r="HN59" s="136"/>
      <c r="HO59" s="136"/>
      <c r="HP59" s="39">
        <f t="shared" si="22"/>
        <v>0</v>
      </c>
      <c r="HQ59" s="39">
        <f t="shared" si="47"/>
        <v>0</v>
      </c>
      <c r="HR59" s="39"/>
      <c r="HS59" s="39"/>
      <c r="HT59" s="39"/>
      <c r="HU59" s="43"/>
      <c r="HV59" s="39"/>
      <c r="HW59" s="39"/>
      <c r="HX59" s="39">
        <f t="shared" si="24"/>
        <v>0</v>
      </c>
      <c r="HY59" s="39">
        <f t="shared" si="48"/>
        <v>0</v>
      </c>
    </row>
    <row r="60" spans="1:233" ht="12.75" customHeight="1">
      <c r="A60" s="13" t="s">
        <v>135</v>
      </c>
      <c r="B60" s="39">
        <f>SUM(B61:B67)</f>
        <v>8235</v>
      </c>
      <c r="C60" s="39">
        <f aca="true" t="shared" si="49" ref="C60:BN60">SUM(C61:C67)</f>
        <v>8235</v>
      </c>
      <c r="D60" s="39">
        <f t="shared" si="49"/>
        <v>13342</v>
      </c>
      <c r="E60" s="39">
        <f t="shared" si="49"/>
        <v>13342</v>
      </c>
      <c r="F60" s="39">
        <f t="shared" si="49"/>
        <v>67634</v>
      </c>
      <c r="G60" s="39">
        <f t="shared" si="49"/>
        <v>67634</v>
      </c>
      <c r="H60" s="39">
        <f t="shared" si="49"/>
        <v>0</v>
      </c>
      <c r="I60" s="39">
        <f t="shared" si="49"/>
        <v>0</v>
      </c>
      <c r="J60" s="39">
        <f t="shared" si="49"/>
        <v>0</v>
      </c>
      <c r="K60" s="39">
        <f t="shared" si="49"/>
        <v>0</v>
      </c>
      <c r="L60" s="39">
        <f t="shared" si="49"/>
        <v>0</v>
      </c>
      <c r="M60" s="39">
        <f t="shared" si="49"/>
        <v>0</v>
      </c>
      <c r="N60" s="39">
        <f t="shared" si="49"/>
        <v>0</v>
      </c>
      <c r="O60" s="39">
        <f t="shared" si="49"/>
        <v>0</v>
      </c>
      <c r="P60" s="39">
        <f t="shared" si="49"/>
        <v>0</v>
      </c>
      <c r="Q60" s="39">
        <f t="shared" si="49"/>
        <v>0</v>
      </c>
      <c r="R60" s="39">
        <f t="shared" si="49"/>
        <v>635</v>
      </c>
      <c r="S60" s="39">
        <f t="shared" si="49"/>
        <v>630.87199</v>
      </c>
      <c r="T60" s="39">
        <f t="shared" si="49"/>
        <v>10303.206470000001</v>
      </c>
      <c r="U60" s="39">
        <f t="shared" si="49"/>
        <v>10303.20647</v>
      </c>
      <c r="V60" s="39">
        <f t="shared" si="49"/>
        <v>1154.05</v>
      </c>
      <c r="W60" s="39">
        <f t="shared" si="49"/>
        <v>1154.05</v>
      </c>
      <c r="X60" s="39">
        <f t="shared" si="49"/>
        <v>0</v>
      </c>
      <c r="Y60" s="39">
        <f t="shared" si="49"/>
        <v>0</v>
      </c>
      <c r="Z60" s="39">
        <f t="shared" si="49"/>
        <v>0</v>
      </c>
      <c r="AA60" s="39">
        <f t="shared" si="49"/>
        <v>0</v>
      </c>
      <c r="AB60" s="39">
        <f t="shared" si="49"/>
        <v>0</v>
      </c>
      <c r="AC60" s="39">
        <f t="shared" si="49"/>
        <v>0</v>
      </c>
      <c r="AD60" s="39">
        <f t="shared" si="49"/>
        <v>0</v>
      </c>
      <c r="AE60" s="39">
        <f t="shared" si="49"/>
        <v>0</v>
      </c>
      <c r="AF60" s="39">
        <f t="shared" si="49"/>
        <v>661</v>
      </c>
      <c r="AG60" s="39">
        <f t="shared" si="49"/>
        <v>661</v>
      </c>
      <c r="AH60" s="39">
        <f t="shared" si="49"/>
        <v>101964.25647</v>
      </c>
      <c r="AI60" s="39">
        <f t="shared" si="49"/>
        <v>101960.12845999999</v>
      </c>
      <c r="AJ60" s="39">
        <f t="shared" si="49"/>
        <v>317.5</v>
      </c>
      <c r="AK60" s="39">
        <f t="shared" si="49"/>
        <v>317.5</v>
      </c>
      <c r="AL60" s="39">
        <f t="shared" si="49"/>
        <v>0</v>
      </c>
      <c r="AM60" s="39">
        <f t="shared" si="49"/>
        <v>0</v>
      </c>
      <c r="AN60" s="39">
        <f t="shared" si="49"/>
        <v>400</v>
      </c>
      <c r="AO60" s="39">
        <f t="shared" si="49"/>
        <v>400</v>
      </c>
      <c r="AP60" s="39">
        <f t="shared" si="49"/>
        <v>0</v>
      </c>
      <c r="AQ60" s="39">
        <f t="shared" si="49"/>
        <v>0</v>
      </c>
      <c r="AR60" s="39">
        <f t="shared" si="49"/>
        <v>0</v>
      </c>
      <c r="AS60" s="39">
        <f t="shared" si="49"/>
        <v>0</v>
      </c>
      <c r="AT60" s="39">
        <f t="shared" si="49"/>
        <v>10</v>
      </c>
      <c r="AU60" s="39">
        <f t="shared" si="49"/>
        <v>10</v>
      </c>
      <c r="AV60" s="39">
        <f t="shared" si="49"/>
        <v>100</v>
      </c>
      <c r="AW60" s="39">
        <f t="shared" si="49"/>
        <v>100</v>
      </c>
      <c r="AX60" s="39">
        <f t="shared" si="49"/>
        <v>0</v>
      </c>
      <c r="AY60" s="39">
        <f t="shared" si="49"/>
        <v>0</v>
      </c>
      <c r="AZ60" s="39">
        <f t="shared" si="49"/>
        <v>827.5</v>
      </c>
      <c r="BA60" s="39">
        <f t="shared" si="49"/>
        <v>827.5</v>
      </c>
      <c r="BB60" s="39">
        <f t="shared" si="49"/>
        <v>1532</v>
      </c>
      <c r="BC60" s="39">
        <f t="shared" si="49"/>
        <v>1532</v>
      </c>
      <c r="BD60" s="39">
        <f t="shared" si="49"/>
        <v>958.85</v>
      </c>
      <c r="BE60" s="39">
        <f t="shared" si="49"/>
        <v>698.954</v>
      </c>
      <c r="BF60" s="39">
        <f t="shared" si="49"/>
        <v>0</v>
      </c>
      <c r="BG60" s="39">
        <f t="shared" si="49"/>
        <v>0</v>
      </c>
      <c r="BH60" s="39">
        <f t="shared" si="49"/>
        <v>1130</v>
      </c>
      <c r="BI60" s="39">
        <f t="shared" si="49"/>
        <v>1130</v>
      </c>
      <c r="BJ60" s="39">
        <f t="shared" si="49"/>
        <v>4421</v>
      </c>
      <c r="BK60" s="39">
        <f t="shared" si="49"/>
        <v>4421</v>
      </c>
      <c r="BL60" s="39">
        <f t="shared" si="49"/>
        <v>13097.8</v>
      </c>
      <c r="BM60" s="39">
        <f t="shared" si="49"/>
        <v>2860</v>
      </c>
      <c r="BN60" s="39">
        <f t="shared" si="49"/>
        <v>2167.2</v>
      </c>
      <c r="BO60" s="39">
        <f aca="true" t="shared" si="50" ref="BO60:DZ60">SUM(BO61:BO67)</f>
        <v>2064.6</v>
      </c>
      <c r="BP60" s="39">
        <f t="shared" si="50"/>
        <v>0</v>
      </c>
      <c r="BQ60" s="39">
        <f t="shared" si="50"/>
        <v>0</v>
      </c>
      <c r="BR60" s="39">
        <f t="shared" si="50"/>
        <v>0</v>
      </c>
      <c r="BS60" s="39">
        <f t="shared" si="50"/>
        <v>0</v>
      </c>
      <c r="BT60" s="39">
        <f t="shared" si="50"/>
        <v>277.9</v>
      </c>
      <c r="BU60" s="39">
        <f t="shared" si="50"/>
        <v>277.9</v>
      </c>
      <c r="BV60" s="39">
        <f t="shared" si="50"/>
        <v>322.7</v>
      </c>
      <c r="BW60" s="39">
        <f t="shared" si="50"/>
        <v>322.7</v>
      </c>
      <c r="BX60" s="39">
        <f t="shared" si="50"/>
        <v>0</v>
      </c>
      <c r="BY60" s="39">
        <f t="shared" si="50"/>
        <v>0</v>
      </c>
      <c r="BZ60" s="39">
        <f t="shared" si="50"/>
        <v>0</v>
      </c>
      <c r="CA60" s="39">
        <f t="shared" si="50"/>
        <v>0</v>
      </c>
      <c r="CB60" s="39">
        <f t="shared" si="50"/>
        <v>1150.74</v>
      </c>
      <c r="CC60" s="39">
        <f t="shared" si="50"/>
        <v>1150.74</v>
      </c>
      <c r="CD60" s="39">
        <f t="shared" si="50"/>
        <v>575.37</v>
      </c>
      <c r="CE60" s="39">
        <f t="shared" si="50"/>
        <v>575.37</v>
      </c>
      <c r="CF60" s="39">
        <f t="shared" si="50"/>
        <v>24101.56</v>
      </c>
      <c r="CG60" s="39">
        <f t="shared" si="50"/>
        <v>13501.264000000001</v>
      </c>
      <c r="CH60" s="39">
        <f t="shared" si="50"/>
        <v>18977.8635</v>
      </c>
      <c r="CI60" s="39">
        <f t="shared" si="50"/>
        <v>18977.8635</v>
      </c>
      <c r="CJ60" s="39">
        <f t="shared" si="50"/>
        <v>6060.16976</v>
      </c>
      <c r="CK60" s="39">
        <f t="shared" si="50"/>
        <v>6060.16976</v>
      </c>
      <c r="CL60" s="39">
        <f t="shared" si="50"/>
        <v>0</v>
      </c>
      <c r="CM60" s="39">
        <f t="shared" si="50"/>
        <v>0</v>
      </c>
      <c r="CN60" s="39">
        <f t="shared" si="50"/>
        <v>0</v>
      </c>
      <c r="CO60" s="39">
        <f t="shared" si="50"/>
        <v>0</v>
      </c>
      <c r="CP60" s="39">
        <f t="shared" si="50"/>
        <v>0</v>
      </c>
      <c r="CQ60" s="39">
        <f t="shared" si="50"/>
        <v>0</v>
      </c>
      <c r="CR60" s="39">
        <f t="shared" si="50"/>
        <v>0</v>
      </c>
      <c r="CS60" s="39">
        <f t="shared" si="50"/>
        <v>0</v>
      </c>
      <c r="CT60" s="39">
        <f t="shared" si="50"/>
        <v>0</v>
      </c>
      <c r="CU60" s="39">
        <f t="shared" si="50"/>
        <v>0</v>
      </c>
      <c r="CV60" s="39">
        <f t="shared" si="50"/>
        <v>0</v>
      </c>
      <c r="CW60" s="39">
        <f t="shared" si="50"/>
        <v>0</v>
      </c>
      <c r="CX60" s="39">
        <f t="shared" si="50"/>
        <v>0</v>
      </c>
      <c r="CY60" s="39">
        <f t="shared" si="50"/>
        <v>0</v>
      </c>
      <c r="CZ60" s="39">
        <f t="shared" si="50"/>
        <v>128.34199999999998</v>
      </c>
      <c r="DA60" s="39">
        <f t="shared" si="50"/>
        <v>128.34199999999998</v>
      </c>
      <c r="DB60" s="39">
        <f t="shared" si="50"/>
        <v>0</v>
      </c>
      <c r="DC60" s="39">
        <f t="shared" si="50"/>
        <v>0</v>
      </c>
      <c r="DD60" s="39">
        <f t="shared" si="50"/>
        <v>0</v>
      </c>
      <c r="DE60" s="39">
        <f t="shared" si="50"/>
        <v>0</v>
      </c>
      <c r="DF60" s="39">
        <f t="shared" si="50"/>
        <v>25166.375259999997</v>
      </c>
      <c r="DG60" s="39">
        <f t="shared" si="50"/>
        <v>25166.375259999997</v>
      </c>
      <c r="DH60" s="39">
        <f t="shared" si="50"/>
        <v>734.11</v>
      </c>
      <c r="DI60" s="39">
        <f t="shared" si="50"/>
        <v>734.11</v>
      </c>
      <c r="DJ60" s="39">
        <f t="shared" si="50"/>
        <v>734.11</v>
      </c>
      <c r="DK60" s="39">
        <f t="shared" si="50"/>
        <v>734.11</v>
      </c>
      <c r="DL60" s="39">
        <f t="shared" si="50"/>
        <v>0</v>
      </c>
      <c r="DM60" s="39">
        <f t="shared" si="50"/>
        <v>0</v>
      </c>
      <c r="DN60" s="39">
        <f t="shared" si="50"/>
        <v>0</v>
      </c>
      <c r="DO60" s="39">
        <f t="shared" si="50"/>
        <v>0</v>
      </c>
      <c r="DP60" s="39">
        <f t="shared" si="50"/>
        <v>0</v>
      </c>
      <c r="DQ60" s="39">
        <f t="shared" si="50"/>
        <v>0</v>
      </c>
      <c r="DR60" s="39">
        <f t="shared" si="50"/>
        <v>5</v>
      </c>
      <c r="DS60" s="39">
        <f t="shared" si="50"/>
        <v>5</v>
      </c>
      <c r="DT60" s="39">
        <f t="shared" si="50"/>
        <v>0</v>
      </c>
      <c r="DU60" s="39">
        <f t="shared" si="50"/>
        <v>0</v>
      </c>
      <c r="DV60" s="39">
        <f t="shared" si="50"/>
        <v>0</v>
      </c>
      <c r="DW60" s="39">
        <f t="shared" si="50"/>
        <v>0</v>
      </c>
      <c r="DX60" s="39">
        <f t="shared" si="50"/>
        <v>0</v>
      </c>
      <c r="DY60" s="39">
        <f t="shared" si="50"/>
        <v>0</v>
      </c>
      <c r="DZ60" s="39">
        <f t="shared" si="50"/>
        <v>0</v>
      </c>
      <c r="EA60" s="39">
        <f aca="true" t="shared" si="51" ref="EA60:GL60">SUM(EA61:EA67)</f>
        <v>0</v>
      </c>
      <c r="EB60" s="39">
        <f t="shared" si="51"/>
        <v>15</v>
      </c>
      <c r="EC60" s="39">
        <f t="shared" si="51"/>
        <v>15</v>
      </c>
      <c r="ED60" s="39">
        <f t="shared" si="51"/>
        <v>140</v>
      </c>
      <c r="EE60" s="39">
        <f t="shared" si="51"/>
        <v>140</v>
      </c>
      <c r="EF60" s="39">
        <f t="shared" si="51"/>
        <v>8489.5</v>
      </c>
      <c r="EG60" s="39">
        <f t="shared" si="51"/>
        <v>8481.04192</v>
      </c>
      <c r="EH60" s="39">
        <f t="shared" si="51"/>
        <v>6431.5</v>
      </c>
      <c r="EI60" s="39">
        <f t="shared" si="51"/>
        <v>6431.5</v>
      </c>
      <c r="EJ60" s="39">
        <f t="shared" si="51"/>
        <v>612</v>
      </c>
      <c r="EK60" s="39">
        <f t="shared" si="51"/>
        <v>558</v>
      </c>
      <c r="EL60" s="39">
        <f t="shared" si="51"/>
        <v>0</v>
      </c>
      <c r="EM60" s="39">
        <f t="shared" si="51"/>
        <v>0</v>
      </c>
      <c r="EN60" s="39">
        <f t="shared" si="51"/>
        <v>0</v>
      </c>
      <c r="EO60" s="39">
        <f t="shared" si="51"/>
        <v>0</v>
      </c>
      <c r="EP60" s="39">
        <f t="shared" si="51"/>
        <v>0</v>
      </c>
      <c r="EQ60" s="39">
        <f t="shared" si="51"/>
        <v>0</v>
      </c>
      <c r="ER60" s="39">
        <f t="shared" si="51"/>
        <v>0</v>
      </c>
      <c r="ES60" s="39">
        <f t="shared" si="51"/>
        <v>0</v>
      </c>
      <c r="ET60" s="39">
        <f t="shared" si="51"/>
        <v>0</v>
      </c>
      <c r="EU60" s="39">
        <f t="shared" si="51"/>
        <v>0</v>
      </c>
      <c r="EV60" s="39">
        <f t="shared" si="51"/>
        <v>13.4</v>
      </c>
      <c r="EW60" s="39">
        <f t="shared" si="51"/>
        <v>13.4</v>
      </c>
      <c r="EX60" s="39">
        <f t="shared" si="51"/>
        <v>0</v>
      </c>
      <c r="EY60" s="39">
        <f t="shared" si="51"/>
        <v>0</v>
      </c>
      <c r="EZ60" s="39">
        <f t="shared" si="51"/>
        <v>100</v>
      </c>
      <c r="FA60" s="39">
        <f t="shared" si="51"/>
        <v>100</v>
      </c>
      <c r="FB60" s="39">
        <f t="shared" si="51"/>
        <v>15806.4</v>
      </c>
      <c r="FC60" s="39">
        <f t="shared" si="51"/>
        <v>15743.941920000001</v>
      </c>
      <c r="FD60" s="39">
        <f t="shared" si="51"/>
        <v>72.5</v>
      </c>
      <c r="FE60" s="39">
        <f t="shared" si="51"/>
        <v>72.5</v>
      </c>
      <c r="FF60" s="39">
        <f t="shared" si="51"/>
        <v>4.71</v>
      </c>
      <c r="FG60" s="39">
        <f t="shared" si="51"/>
        <v>4.71</v>
      </c>
      <c r="FH60" s="39">
        <f t="shared" si="51"/>
        <v>77.21</v>
      </c>
      <c r="FI60" s="39">
        <f t="shared" si="51"/>
        <v>77.21</v>
      </c>
      <c r="FJ60" s="39">
        <f t="shared" si="51"/>
        <v>0</v>
      </c>
      <c r="FK60" s="39">
        <f t="shared" si="51"/>
        <v>0</v>
      </c>
      <c r="FL60" s="39">
        <f t="shared" si="51"/>
        <v>0</v>
      </c>
      <c r="FM60" s="39">
        <f t="shared" si="51"/>
        <v>0</v>
      </c>
      <c r="FN60" s="39">
        <f t="shared" si="51"/>
        <v>0</v>
      </c>
      <c r="FO60" s="39">
        <f t="shared" si="51"/>
        <v>0</v>
      </c>
      <c r="FP60" s="39">
        <f t="shared" si="51"/>
        <v>0</v>
      </c>
      <c r="FQ60" s="39">
        <f t="shared" si="51"/>
        <v>0</v>
      </c>
      <c r="FR60" s="39">
        <f t="shared" si="51"/>
        <v>0</v>
      </c>
      <c r="FS60" s="39">
        <f t="shared" si="51"/>
        <v>0</v>
      </c>
      <c r="FT60" s="39">
        <f t="shared" si="51"/>
        <v>1244.1</v>
      </c>
      <c r="FU60" s="39">
        <f t="shared" si="51"/>
        <v>1244.1</v>
      </c>
      <c r="FV60" s="39">
        <f t="shared" si="51"/>
        <v>736</v>
      </c>
      <c r="FW60" s="39">
        <f t="shared" si="51"/>
        <v>736</v>
      </c>
      <c r="FX60" s="39">
        <f t="shared" si="51"/>
        <v>9600</v>
      </c>
      <c r="FY60" s="39">
        <f t="shared" si="51"/>
        <v>9600</v>
      </c>
      <c r="FZ60" s="39">
        <f t="shared" si="51"/>
        <v>3395</v>
      </c>
      <c r="GA60" s="39">
        <f t="shared" si="51"/>
        <v>3395</v>
      </c>
      <c r="GB60" s="39">
        <f t="shared" si="51"/>
        <v>0</v>
      </c>
      <c r="GC60" s="39">
        <f t="shared" si="51"/>
        <v>0</v>
      </c>
      <c r="GD60" s="39">
        <f t="shared" si="51"/>
        <v>183432.47100000002</v>
      </c>
      <c r="GE60" s="39">
        <f t="shared" si="51"/>
        <v>46930.371</v>
      </c>
      <c r="GF60" s="39">
        <f t="shared" si="51"/>
        <v>0</v>
      </c>
      <c r="GG60" s="39">
        <f t="shared" si="51"/>
        <v>0</v>
      </c>
      <c r="GH60" s="39">
        <f t="shared" si="51"/>
        <v>0</v>
      </c>
      <c r="GI60" s="39">
        <f t="shared" si="51"/>
        <v>0</v>
      </c>
      <c r="GJ60" s="39">
        <f t="shared" si="51"/>
        <v>42659.4</v>
      </c>
      <c r="GK60" s="39">
        <f t="shared" si="51"/>
        <v>42659.4</v>
      </c>
      <c r="GL60" s="39">
        <f t="shared" si="51"/>
        <v>108012.7</v>
      </c>
      <c r="GM60" s="39">
        <f aca="true" t="shared" si="52" ref="GM60:HY60">SUM(GM61:GM67)</f>
        <v>108012.7</v>
      </c>
      <c r="GN60" s="39">
        <f t="shared" si="52"/>
        <v>0</v>
      </c>
      <c r="GO60" s="39">
        <f t="shared" si="52"/>
        <v>0</v>
      </c>
      <c r="GP60" s="39">
        <f t="shared" si="52"/>
        <v>6080.3</v>
      </c>
      <c r="GQ60" s="39">
        <f t="shared" si="52"/>
        <v>6080.3</v>
      </c>
      <c r="GR60" s="39">
        <f t="shared" si="52"/>
        <v>1042</v>
      </c>
      <c r="GS60" s="39">
        <f t="shared" si="52"/>
        <v>1042</v>
      </c>
      <c r="GT60" s="39">
        <f t="shared" si="52"/>
        <v>240</v>
      </c>
      <c r="GU60" s="39">
        <f t="shared" si="52"/>
        <v>240</v>
      </c>
      <c r="GV60" s="39">
        <f t="shared" si="52"/>
        <v>15625</v>
      </c>
      <c r="GW60" s="39">
        <f t="shared" si="52"/>
        <v>15625</v>
      </c>
      <c r="GX60" s="39">
        <f t="shared" si="52"/>
        <v>4437.91</v>
      </c>
      <c r="GY60" s="39">
        <f t="shared" si="52"/>
        <v>4437.91</v>
      </c>
      <c r="GZ60" s="39">
        <f t="shared" si="52"/>
        <v>50</v>
      </c>
      <c r="HA60" s="39">
        <f t="shared" si="52"/>
        <v>50</v>
      </c>
      <c r="HB60" s="39">
        <f t="shared" si="52"/>
        <v>118.8</v>
      </c>
      <c r="HC60" s="39">
        <f t="shared" si="52"/>
        <v>118.8</v>
      </c>
      <c r="HD60" s="39">
        <f t="shared" si="52"/>
        <v>376673.681</v>
      </c>
      <c r="HE60" s="39">
        <f t="shared" si="52"/>
        <v>240171.58099999998</v>
      </c>
      <c r="HF60" s="39">
        <f t="shared" si="52"/>
        <v>0</v>
      </c>
      <c r="HG60" s="39">
        <f t="shared" si="52"/>
        <v>0</v>
      </c>
      <c r="HH60" s="39">
        <f t="shared" si="52"/>
        <v>0</v>
      </c>
      <c r="HI60" s="39">
        <f t="shared" si="52"/>
        <v>0</v>
      </c>
      <c r="HJ60" s="39">
        <f t="shared" si="52"/>
        <v>0</v>
      </c>
      <c r="HK60" s="39">
        <f t="shared" si="52"/>
        <v>0</v>
      </c>
      <c r="HL60" s="39">
        <f t="shared" si="52"/>
        <v>0</v>
      </c>
      <c r="HM60" s="39">
        <f t="shared" si="52"/>
        <v>0</v>
      </c>
      <c r="HN60" s="39">
        <f t="shared" si="52"/>
        <v>0</v>
      </c>
      <c r="HO60" s="39">
        <f t="shared" si="52"/>
        <v>0</v>
      </c>
      <c r="HP60" s="39">
        <f t="shared" si="52"/>
        <v>0</v>
      </c>
      <c r="HQ60" s="39">
        <f t="shared" si="52"/>
        <v>0</v>
      </c>
      <c r="HR60" s="39">
        <f t="shared" si="52"/>
        <v>0</v>
      </c>
      <c r="HS60" s="39">
        <f t="shared" si="52"/>
        <v>0</v>
      </c>
      <c r="HT60" s="39">
        <f t="shared" si="52"/>
        <v>377</v>
      </c>
      <c r="HU60" s="39">
        <f t="shared" si="52"/>
        <v>370.1</v>
      </c>
      <c r="HV60" s="39">
        <f t="shared" si="52"/>
        <v>1.295</v>
      </c>
      <c r="HW60" s="39">
        <f t="shared" si="52"/>
        <v>1.295</v>
      </c>
      <c r="HX60" s="39">
        <f t="shared" si="52"/>
        <v>378.295</v>
      </c>
      <c r="HY60" s="39">
        <f t="shared" si="52"/>
        <v>371.39500000000004</v>
      </c>
    </row>
    <row r="61" spans="1:233" ht="12.75">
      <c r="A61" s="12" t="s">
        <v>156</v>
      </c>
      <c r="B61" s="39">
        <f>823+549+686+412+686+686+687+686+686+687+549+549+549</f>
        <v>8235</v>
      </c>
      <c r="C61" s="39">
        <f>823+549+686+412+686+686+687+686+686+687+549+549+549</f>
        <v>8235</v>
      </c>
      <c r="D61" s="39"/>
      <c r="E61" s="39"/>
      <c r="F61" s="39">
        <f>6763+4509+5636+3382+5636+4284+4284+7433+4284+4284+4284+4285+4285+4285</f>
        <v>67634</v>
      </c>
      <c r="G61" s="39">
        <f>6763+4509+5636+3382+5636+4284+4284+7433+4284+4284+4284+4285+4285+4285</f>
        <v>67634</v>
      </c>
      <c r="H61" s="34"/>
      <c r="I61" s="34"/>
      <c r="J61" s="34"/>
      <c r="K61" s="34"/>
      <c r="L61" s="34"/>
      <c r="M61" s="34"/>
      <c r="N61" s="34"/>
      <c r="O61" s="34"/>
      <c r="P61" s="34"/>
      <c r="Q61" s="34"/>
      <c r="R61" s="39"/>
      <c r="S61" s="39"/>
      <c r="T61" s="39"/>
      <c r="U61" s="39"/>
      <c r="V61" s="39"/>
      <c r="W61" s="34"/>
      <c r="X61" s="34"/>
      <c r="Y61" s="34"/>
      <c r="Z61" s="34"/>
      <c r="AA61" s="34"/>
      <c r="AB61" s="34"/>
      <c r="AC61" s="34"/>
      <c r="AD61" s="34"/>
      <c r="AE61" s="34"/>
      <c r="AF61" s="39"/>
      <c r="AG61" s="48"/>
      <c r="AH61" s="126">
        <f t="shared" si="5"/>
        <v>75869</v>
      </c>
      <c r="AI61" s="126">
        <f t="shared" si="42"/>
        <v>75869</v>
      </c>
      <c r="AJ61" s="43">
        <v>317.5</v>
      </c>
      <c r="AK61" s="43">
        <v>317.5</v>
      </c>
      <c r="AL61" s="134"/>
      <c r="AM61" s="41"/>
      <c r="AN61" s="41">
        <v>400</v>
      </c>
      <c r="AO61" s="41">
        <v>400</v>
      </c>
      <c r="AP61" s="41"/>
      <c r="AQ61" s="41"/>
      <c r="AR61" s="39"/>
      <c r="AS61" s="39"/>
      <c r="AT61" s="43"/>
      <c r="AU61" s="43"/>
      <c r="AV61" s="43">
        <v>100</v>
      </c>
      <c r="AW61" s="43">
        <v>100</v>
      </c>
      <c r="AX61" s="43"/>
      <c r="AY61" s="43"/>
      <c r="AZ61" s="39">
        <f t="shared" si="7"/>
        <v>817.5</v>
      </c>
      <c r="BA61" s="39">
        <f t="shared" si="8"/>
        <v>817.5</v>
      </c>
      <c r="BB61" s="39">
        <v>1532</v>
      </c>
      <c r="BC61" s="39">
        <v>1532</v>
      </c>
      <c r="BD61" s="39"/>
      <c r="BE61" s="43"/>
      <c r="BF61" s="43"/>
      <c r="BG61" s="43"/>
      <c r="BH61" s="43"/>
      <c r="BI61" s="43"/>
      <c r="BJ61" s="43">
        <v>4421</v>
      </c>
      <c r="BK61" s="43">
        <v>4421</v>
      </c>
      <c r="BL61" s="43">
        <v>700</v>
      </c>
      <c r="BM61" s="43">
        <v>342</v>
      </c>
      <c r="BN61" s="43">
        <v>2167.2</v>
      </c>
      <c r="BO61" s="43">
        <v>2064.6</v>
      </c>
      <c r="BP61" s="43"/>
      <c r="BQ61" s="43"/>
      <c r="BR61" s="43"/>
      <c r="BS61" s="43"/>
      <c r="BT61" s="43">
        <v>277.9</v>
      </c>
      <c r="BU61" s="43">
        <v>277.9</v>
      </c>
      <c r="BV61" s="43">
        <v>322.7</v>
      </c>
      <c r="BW61" s="43">
        <v>322.7</v>
      </c>
      <c r="BX61" s="43"/>
      <c r="BY61" s="45"/>
      <c r="BZ61" s="43"/>
      <c r="CA61" s="45"/>
      <c r="CB61" s="39">
        <v>1150.74</v>
      </c>
      <c r="CC61" s="39">
        <v>1150.74</v>
      </c>
      <c r="CD61" s="43">
        <v>575.37</v>
      </c>
      <c r="CE61" s="43">
        <v>575.37</v>
      </c>
      <c r="CF61" s="39">
        <f t="shared" si="9"/>
        <v>9614.91</v>
      </c>
      <c r="CG61" s="39">
        <f t="shared" si="43"/>
        <v>9154.310000000001</v>
      </c>
      <c r="CH61" s="39"/>
      <c r="CI61" s="39"/>
      <c r="CJ61" s="39"/>
      <c r="CK61" s="45"/>
      <c r="CL61" s="45"/>
      <c r="CM61" s="43"/>
      <c r="CN61" s="43"/>
      <c r="CO61" s="43"/>
      <c r="CP61" s="43"/>
      <c r="CQ61" s="39"/>
      <c r="CR61" s="43"/>
      <c r="CS61" s="45"/>
      <c r="CT61" s="45"/>
      <c r="CU61" s="45"/>
      <c r="CV61" s="45"/>
      <c r="CW61" s="43"/>
      <c r="CX61" s="43"/>
      <c r="CY61" s="43"/>
      <c r="CZ61" s="39"/>
      <c r="DA61" s="45"/>
      <c r="DB61" s="43"/>
      <c r="DC61" s="43"/>
      <c r="DD61" s="43"/>
      <c r="DE61" s="43"/>
      <c r="DF61" s="39">
        <f t="shared" si="11"/>
        <v>0</v>
      </c>
      <c r="DG61" s="39">
        <f t="shared" si="44"/>
        <v>0</v>
      </c>
      <c r="DH61" s="39">
        <v>734.11</v>
      </c>
      <c r="DI61" s="39">
        <v>734.11</v>
      </c>
      <c r="DJ61" s="39">
        <v>734.11</v>
      </c>
      <c r="DK61" s="39">
        <f t="shared" si="13"/>
        <v>734.11</v>
      </c>
      <c r="DL61" s="39"/>
      <c r="DM61" s="39"/>
      <c r="DN61" s="43"/>
      <c r="DO61" s="43"/>
      <c r="DP61" s="39">
        <f t="shared" si="14"/>
        <v>0</v>
      </c>
      <c r="DQ61" s="39">
        <f t="shared" si="15"/>
        <v>0</v>
      </c>
      <c r="DR61" s="39">
        <v>5</v>
      </c>
      <c r="DS61" s="39">
        <v>5</v>
      </c>
      <c r="DT61" s="43"/>
      <c r="DU61" s="43"/>
      <c r="DV61" s="43"/>
      <c r="DW61" s="43"/>
      <c r="DX61" s="43"/>
      <c r="DY61" s="43"/>
      <c r="DZ61" s="39"/>
      <c r="EA61" s="39"/>
      <c r="EB61" s="43">
        <f>15</f>
        <v>15</v>
      </c>
      <c r="EC61" s="43">
        <f>15</f>
        <v>15</v>
      </c>
      <c r="ED61" s="43">
        <v>140</v>
      </c>
      <c r="EE61" s="43">
        <v>140</v>
      </c>
      <c r="EF61" s="39">
        <v>3381</v>
      </c>
      <c r="EG61" s="43">
        <v>3380.96</v>
      </c>
      <c r="EH61" s="43">
        <v>3597</v>
      </c>
      <c r="EI61" s="39">
        <v>3597</v>
      </c>
      <c r="EJ61" s="39">
        <v>177</v>
      </c>
      <c r="EK61" s="43">
        <v>177</v>
      </c>
      <c r="EL61" s="43"/>
      <c r="EM61" s="43"/>
      <c r="EN61" s="45"/>
      <c r="EO61" s="45"/>
      <c r="EP61" s="43"/>
      <c r="EQ61" s="43"/>
      <c r="ER61" s="43"/>
      <c r="ES61" s="43"/>
      <c r="ET61" s="135"/>
      <c r="EU61" s="135"/>
      <c r="EV61" s="135">
        <v>13.4</v>
      </c>
      <c r="EW61" s="135">
        <v>13.4</v>
      </c>
      <c r="EX61" s="43"/>
      <c r="EY61" s="43"/>
      <c r="EZ61" s="43">
        <v>50</v>
      </c>
      <c r="FA61" s="43">
        <v>50</v>
      </c>
      <c r="FB61" s="37">
        <f t="shared" si="16"/>
        <v>7378.4</v>
      </c>
      <c r="FC61" s="37">
        <f t="shared" si="45"/>
        <v>7378.36</v>
      </c>
      <c r="FD61" s="39">
        <v>72.5</v>
      </c>
      <c r="FE61" s="39">
        <v>72.5</v>
      </c>
      <c r="FF61" s="43">
        <v>4.71</v>
      </c>
      <c r="FG61" s="43">
        <v>4.71</v>
      </c>
      <c r="FH61" s="132">
        <f t="shared" si="18"/>
        <v>77.21</v>
      </c>
      <c r="FI61" s="132">
        <f t="shared" si="19"/>
        <v>77.21</v>
      </c>
      <c r="FJ61" s="39"/>
      <c r="FK61" s="39"/>
      <c r="FL61" s="43"/>
      <c r="FM61" s="43"/>
      <c r="FN61" s="43"/>
      <c r="FO61" s="43"/>
      <c r="FP61" s="43"/>
      <c r="FQ61" s="43"/>
      <c r="FR61" s="39"/>
      <c r="FS61" s="135"/>
      <c r="FT61" s="43">
        <v>1244.1</v>
      </c>
      <c r="FU61" s="43">
        <v>1244.1</v>
      </c>
      <c r="FV61" s="43">
        <v>736</v>
      </c>
      <c r="FW61" s="43">
        <v>736</v>
      </c>
      <c r="FX61" s="43">
        <v>9600</v>
      </c>
      <c r="FY61" s="43">
        <v>9600</v>
      </c>
      <c r="FZ61" s="43">
        <v>3395</v>
      </c>
      <c r="GA61" s="43">
        <v>3395</v>
      </c>
      <c r="GB61" s="43"/>
      <c r="GC61" s="43"/>
      <c r="GD61" s="135">
        <f>7760+39170.371+136502.1</f>
        <v>183432.47100000002</v>
      </c>
      <c r="GE61" s="135">
        <f>7760+39170.371</f>
        <v>46930.371</v>
      </c>
      <c r="GF61" s="43"/>
      <c r="GG61" s="43"/>
      <c r="GH61" s="43"/>
      <c r="GI61" s="43"/>
      <c r="GJ61" s="43">
        <v>42659.4</v>
      </c>
      <c r="GK61" s="43">
        <v>42659.4</v>
      </c>
      <c r="GL61" s="43">
        <v>108012.7</v>
      </c>
      <c r="GM61" s="43">
        <v>108012.7</v>
      </c>
      <c r="GN61" s="43"/>
      <c r="GO61" s="43"/>
      <c r="GP61" s="43">
        <v>6080.3</v>
      </c>
      <c r="GQ61" s="43">
        <v>6080.3</v>
      </c>
      <c r="GR61" s="43">
        <v>1042</v>
      </c>
      <c r="GS61" s="43">
        <v>1042</v>
      </c>
      <c r="GT61" s="43">
        <v>240</v>
      </c>
      <c r="GU61" s="43">
        <v>240</v>
      </c>
      <c r="GV61" s="43">
        <v>15625</v>
      </c>
      <c r="GW61" s="43">
        <v>15625</v>
      </c>
      <c r="GX61" s="45">
        <v>4437.91</v>
      </c>
      <c r="GY61" s="45">
        <v>4437.91</v>
      </c>
      <c r="GZ61" s="43">
        <v>50</v>
      </c>
      <c r="HA61" s="43">
        <v>50</v>
      </c>
      <c r="HB61" s="43">
        <v>118.8</v>
      </c>
      <c r="HC61" s="43">
        <v>118.8</v>
      </c>
      <c r="HD61" s="39">
        <f t="shared" si="20"/>
        <v>376673.681</v>
      </c>
      <c r="HE61" s="39">
        <f t="shared" si="46"/>
        <v>240171.58099999998</v>
      </c>
      <c r="HF61" s="39"/>
      <c r="HG61" s="39"/>
      <c r="HH61" s="39"/>
      <c r="HI61" s="43"/>
      <c r="HJ61" s="43"/>
      <c r="HK61" s="43"/>
      <c r="HL61" s="43"/>
      <c r="HM61" s="43"/>
      <c r="HN61" s="136"/>
      <c r="HO61" s="136"/>
      <c r="HP61" s="39">
        <f t="shared" si="22"/>
        <v>0</v>
      </c>
      <c r="HQ61" s="39">
        <f t="shared" si="47"/>
        <v>0</v>
      </c>
      <c r="HR61" s="39"/>
      <c r="HS61" s="39"/>
      <c r="HT61" s="39">
        <v>377</v>
      </c>
      <c r="HU61" s="43">
        <v>370.1</v>
      </c>
      <c r="HV61" s="39">
        <v>1.295</v>
      </c>
      <c r="HW61" s="39">
        <v>1.295</v>
      </c>
      <c r="HX61" s="39">
        <f t="shared" si="24"/>
        <v>378.295</v>
      </c>
      <c r="HY61" s="39">
        <f t="shared" si="48"/>
        <v>371.39500000000004</v>
      </c>
    </row>
    <row r="62" spans="1:233" ht="12.75" customHeight="1">
      <c r="A62" s="14" t="s">
        <v>210</v>
      </c>
      <c r="B62" s="39"/>
      <c r="C62" s="39"/>
      <c r="D62" s="39">
        <f>213+213+214+178+178+177+178+178+177+142+142+142</f>
        <v>2132</v>
      </c>
      <c r="E62" s="39">
        <f>213+213+214+178+178+177+178+178+177+142+142+142</f>
        <v>2132</v>
      </c>
      <c r="F62" s="39"/>
      <c r="G62" s="39"/>
      <c r="H62" s="34"/>
      <c r="I62" s="34"/>
      <c r="J62" s="34"/>
      <c r="K62" s="34"/>
      <c r="L62" s="34"/>
      <c r="M62" s="34"/>
      <c r="N62" s="34"/>
      <c r="O62" s="34"/>
      <c r="P62" s="34"/>
      <c r="Q62" s="34"/>
      <c r="R62" s="39">
        <v>70</v>
      </c>
      <c r="S62" s="39">
        <v>70</v>
      </c>
      <c r="T62" s="39">
        <v>7000</v>
      </c>
      <c r="U62" s="39">
        <f>6094.14+759.622+90.4666+55.7714</f>
        <v>7000</v>
      </c>
      <c r="V62" s="39"/>
      <c r="W62" s="34"/>
      <c r="X62" s="34"/>
      <c r="Y62" s="34"/>
      <c r="Z62" s="34"/>
      <c r="AA62" s="34"/>
      <c r="AB62" s="34"/>
      <c r="AC62" s="34"/>
      <c r="AD62" s="34"/>
      <c r="AE62" s="34"/>
      <c r="AF62" s="39"/>
      <c r="AG62" s="48"/>
      <c r="AH62" s="126">
        <f t="shared" si="5"/>
        <v>9202</v>
      </c>
      <c r="AI62" s="126">
        <f t="shared" si="42"/>
        <v>9202</v>
      </c>
      <c r="AJ62" s="43"/>
      <c r="AK62" s="43"/>
      <c r="AL62" s="134"/>
      <c r="AM62" s="41"/>
      <c r="AN62" s="41"/>
      <c r="AO62" s="41"/>
      <c r="AP62" s="41"/>
      <c r="AQ62" s="41"/>
      <c r="AR62" s="39"/>
      <c r="AS62" s="39"/>
      <c r="AT62" s="43"/>
      <c r="AU62" s="43"/>
      <c r="AV62" s="43"/>
      <c r="AW62" s="43"/>
      <c r="AX62" s="43"/>
      <c r="AY62" s="43"/>
      <c r="AZ62" s="39">
        <f t="shared" si="7"/>
        <v>0</v>
      </c>
      <c r="BA62" s="39">
        <f t="shared" si="8"/>
        <v>0</v>
      </c>
      <c r="BB62" s="39">
        <v>0</v>
      </c>
      <c r="BC62" s="39">
        <v>0</v>
      </c>
      <c r="BD62" s="39"/>
      <c r="BE62" s="43"/>
      <c r="BF62" s="43"/>
      <c r="BG62" s="43"/>
      <c r="BH62" s="43">
        <v>1130</v>
      </c>
      <c r="BI62" s="43">
        <v>1130</v>
      </c>
      <c r="BJ62" s="43"/>
      <c r="BK62" s="43"/>
      <c r="BL62" s="43"/>
      <c r="BM62" s="43"/>
      <c r="BN62" s="45"/>
      <c r="BO62" s="45"/>
      <c r="BP62" s="45"/>
      <c r="BQ62" s="45"/>
      <c r="BR62" s="43"/>
      <c r="BS62" s="43"/>
      <c r="BT62" s="43"/>
      <c r="BU62" s="43"/>
      <c r="BV62" s="45"/>
      <c r="BW62" s="45"/>
      <c r="BX62" s="43"/>
      <c r="BY62" s="45"/>
      <c r="BZ62" s="43"/>
      <c r="CA62" s="45"/>
      <c r="CB62" s="45"/>
      <c r="CC62" s="45"/>
      <c r="CD62" s="45"/>
      <c r="CE62" s="45"/>
      <c r="CF62" s="39">
        <f t="shared" si="9"/>
        <v>1130</v>
      </c>
      <c r="CG62" s="39">
        <f t="shared" si="43"/>
        <v>1130</v>
      </c>
      <c r="CH62" s="39">
        <v>16188.80178</v>
      </c>
      <c r="CI62" s="39">
        <v>16188.80178</v>
      </c>
      <c r="CJ62" s="39">
        <v>5169.54329</v>
      </c>
      <c r="CK62" s="43">
        <v>5169.54329</v>
      </c>
      <c r="CL62" s="43"/>
      <c r="CM62" s="43"/>
      <c r="CN62" s="43"/>
      <c r="CO62" s="43"/>
      <c r="CP62" s="43"/>
      <c r="CQ62" s="39"/>
      <c r="CR62" s="43"/>
      <c r="CS62" s="45"/>
      <c r="CT62" s="45"/>
      <c r="CU62" s="45"/>
      <c r="CV62" s="45"/>
      <c r="CW62" s="43"/>
      <c r="CX62" s="43"/>
      <c r="CY62" s="43"/>
      <c r="CZ62" s="39">
        <v>28.52</v>
      </c>
      <c r="DA62" s="39">
        <v>28.52</v>
      </c>
      <c r="DB62" s="43"/>
      <c r="DC62" s="43"/>
      <c r="DD62" s="43"/>
      <c r="DE62" s="43"/>
      <c r="DF62" s="39">
        <f t="shared" si="11"/>
        <v>21386.86507</v>
      </c>
      <c r="DG62" s="39">
        <f t="shared" si="44"/>
        <v>21386.86507</v>
      </c>
      <c r="DH62" s="39"/>
      <c r="DI62" s="39"/>
      <c r="DJ62" s="39">
        <v>0</v>
      </c>
      <c r="DK62" s="39">
        <f t="shared" si="13"/>
        <v>0</v>
      </c>
      <c r="DL62" s="39"/>
      <c r="DM62" s="39"/>
      <c r="DN62" s="43"/>
      <c r="DO62" s="43"/>
      <c r="DP62" s="39">
        <f t="shared" si="14"/>
        <v>0</v>
      </c>
      <c r="DQ62" s="39">
        <f t="shared" si="15"/>
        <v>0</v>
      </c>
      <c r="DR62" s="39"/>
      <c r="DS62" s="39"/>
      <c r="DT62" s="43"/>
      <c r="DU62" s="43"/>
      <c r="DV62" s="43"/>
      <c r="DW62" s="43"/>
      <c r="DX62" s="43"/>
      <c r="DY62" s="43"/>
      <c r="DZ62" s="39"/>
      <c r="EA62" s="39"/>
      <c r="EB62" s="43"/>
      <c r="EC62" s="43"/>
      <c r="ED62" s="43"/>
      <c r="EE62" s="43"/>
      <c r="EF62" s="39"/>
      <c r="EG62" s="43"/>
      <c r="EH62" s="43"/>
      <c r="EI62" s="45"/>
      <c r="EJ62" s="39"/>
      <c r="EK62" s="43"/>
      <c r="EL62" s="43"/>
      <c r="EM62" s="43"/>
      <c r="EN62" s="45"/>
      <c r="EO62" s="45"/>
      <c r="EP62" s="43"/>
      <c r="EQ62" s="43"/>
      <c r="ER62" s="43"/>
      <c r="ES62" s="43"/>
      <c r="ET62" s="135"/>
      <c r="EU62" s="135"/>
      <c r="EV62" s="135"/>
      <c r="EW62" s="135"/>
      <c r="EX62" s="43"/>
      <c r="EY62" s="43"/>
      <c r="EZ62" s="43"/>
      <c r="FA62" s="43"/>
      <c r="FB62" s="37">
        <f t="shared" si="16"/>
        <v>0</v>
      </c>
      <c r="FC62" s="37">
        <f t="shared" si="45"/>
        <v>0</v>
      </c>
      <c r="FD62" s="39"/>
      <c r="FE62" s="39"/>
      <c r="FF62" s="43"/>
      <c r="FG62" s="43"/>
      <c r="FH62" s="132">
        <f t="shared" si="18"/>
        <v>0</v>
      </c>
      <c r="FI62" s="132">
        <f t="shared" si="19"/>
        <v>0</v>
      </c>
      <c r="FJ62" s="39"/>
      <c r="FK62" s="39"/>
      <c r="FL62" s="43"/>
      <c r="FM62" s="43"/>
      <c r="FN62" s="43"/>
      <c r="FO62" s="43"/>
      <c r="FP62" s="43"/>
      <c r="FQ62" s="43"/>
      <c r="FR62" s="39"/>
      <c r="FS62" s="135"/>
      <c r="FT62" s="43"/>
      <c r="FU62" s="43"/>
      <c r="FV62" s="43"/>
      <c r="FW62" s="43"/>
      <c r="FX62" s="43"/>
      <c r="FY62" s="43"/>
      <c r="FZ62" s="43"/>
      <c r="GA62" s="43"/>
      <c r="GB62" s="43"/>
      <c r="GC62" s="43"/>
      <c r="GD62" s="135"/>
      <c r="GE62" s="135"/>
      <c r="GF62" s="43"/>
      <c r="GG62" s="43"/>
      <c r="GH62" s="43"/>
      <c r="GI62" s="43"/>
      <c r="GJ62" s="43"/>
      <c r="GK62" s="43"/>
      <c r="GL62" s="43"/>
      <c r="GM62" s="43"/>
      <c r="GN62" s="43"/>
      <c r="GO62" s="43"/>
      <c r="GP62" s="43"/>
      <c r="GQ62" s="43"/>
      <c r="GR62" s="43"/>
      <c r="GS62" s="43"/>
      <c r="GT62" s="43"/>
      <c r="GU62" s="43"/>
      <c r="GV62" s="43"/>
      <c r="GW62" s="43"/>
      <c r="GX62" s="45"/>
      <c r="GY62" s="45"/>
      <c r="GZ62" s="43"/>
      <c r="HA62" s="43"/>
      <c r="HB62" s="43"/>
      <c r="HC62" s="43"/>
      <c r="HD62" s="39">
        <f t="shared" si="20"/>
        <v>0</v>
      </c>
      <c r="HE62" s="39">
        <f t="shared" si="46"/>
        <v>0</v>
      </c>
      <c r="HF62" s="39"/>
      <c r="HG62" s="39"/>
      <c r="HH62" s="39"/>
      <c r="HI62" s="43"/>
      <c r="HJ62" s="43"/>
      <c r="HK62" s="43"/>
      <c r="HL62" s="43"/>
      <c r="HM62" s="43"/>
      <c r="HN62" s="136"/>
      <c r="HO62" s="136"/>
      <c r="HP62" s="39">
        <f t="shared" si="22"/>
        <v>0</v>
      </c>
      <c r="HQ62" s="39">
        <f t="shared" si="47"/>
        <v>0</v>
      </c>
      <c r="HR62" s="39"/>
      <c r="HS62" s="39"/>
      <c r="HT62" s="39"/>
      <c r="HU62" s="43"/>
      <c r="HV62" s="39"/>
      <c r="HW62" s="39"/>
      <c r="HX62" s="39">
        <f t="shared" si="24"/>
        <v>0</v>
      </c>
      <c r="HY62" s="39">
        <f t="shared" si="48"/>
        <v>0</v>
      </c>
    </row>
    <row r="63" spans="1:233" ht="12.75">
      <c r="A63" s="14" t="s">
        <v>239</v>
      </c>
      <c r="B63" s="39"/>
      <c r="C63" s="39"/>
      <c r="D63" s="39">
        <f>192+192+192+160+160+160+160+160+160+128+128+128</f>
        <v>1920</v>
      </c>
      <c r="E63" s="39">
        <f>192+192+192+160+160+160+160+160+160+128+128+128</f>
        <v>1920</v>
      </c>
      <c r="F63" s="39"/>
      <c r="G63" s="39"/>
      <c r="H63" s="34"/>
      <c r="I63" s="34"/>
      <c r="J63" s="34"/>
      <c r="K63" s="34"/>
      <c r="L63" s="34"/>
      <c r="M63" s="34"/>
      <c r="N63" s="34"/>
      <c r="O63" s="34"/>
      <c r="P63" s="34"/>
      <c r="Q63" s="34"/>
      <c r="R63" s="39">
        <v>530</v>
      </c>
      <c r="S63" s="39">
        <f>528.24759</f>
        <v>528.24759</v>
      </c>
      <c r="T63" s="39">
        <v>2291.0031400000003</v>
      </c>
      <c r="U63" s="39">
        <f>282.76052+2008.24262</f>
        <v>2291.00314</v>
      </c>
      <c r="V63" s="39">
        <v>507.5</v>
      </c>
      <c r="W63" s="34">
        <f>46+226.5+235</f>
        <v>507.5</v>
      </c>
      <c r="X63" s="34"/>
      <c r="Y63" s="34"/>
      <c r="Z63" s="34"/>
      <c r="AA63" s="34"/>
      <c r="AB63" s="34"/>
      <c r="AC63" s="34"/>
      <c r="AD63" s="34"/>
      <c r="AE63" s="34"/>
      <c r="AF63" s="39">
        <v>147</v>
      </c>
      <c r="AG63" s="39">
        <f>12.3+12.3+12.3+12.3+12.3+15.9+15.9+16+12.7+7+18</f>
        <v>147</v>
      </c>
      <c r="AH63" s="126">
        <f t="shared" si="5"/>
        <v>5395.503140000001</v>
      </c>
      <c r="AI63" s="126">
        <f t="shared" si="42"/>
        <v>5393.75073</v>
      </c>
      <c r="AJ63" s="43"/>
      <c r="AK63" s="43"/>
      <c r="AL63" s="134"/>
      <c r="AM63" s="41"/>
      <c r="AN63" s="41"/>
      <c r="AO63" s="41"/>
      <c r="AP63" s="41"/>
      <c r="AQ63" s="41"/>
      <c r="AR63" s="39"/>
      <c r="AS63" s="39"/>
      <c r="AT63" s="43"/>
      <c r="AU63" s="43"/>
      <c r="AV63" s="43"/>
      <c r="AW63" s="43"/>
      <c r="AX63" s="43"/>
      <c r="AY63" s="43"/>
      <c r="AZ63" s="39">
        <f t="shared" si="7"/>
        <v>0</v>
      </c>
      <c r="BA63" s="39">
        <f t="shared" si="8"/>
        <v>0</v>
      </c>
      <c r="BB63" s="39">
        <v>0</v>
      </c>
      <c r="BC63" s="39">
        <v>0</v>
      </c>
      <c r="BD63" s="39">
        <v>170</v>
      </c>
      <c r="BE63" s="43">
        <v>111.576</v>
      </c>
      <c r="BF63" s="43"/>
      <c r="BG63" s="43"/>
      <c r="BH63" s="43"/>
      <c r="BI63" s="43"/>
      <c r="BJ63" s="43"/>
      <c r="BK63" s="43"/>
      <c r="BL63" s="43"/>
      <c r="BM63" s="43"/>
      <c r="BN63" s="45"/>
      <c r="BO63" s="45"/>
      <c r="BP63" s="45"/>
      <c r="BQ63" s="45"/>
      <c r="BR63" s="43"/>
      <c r="BS63" s="43"/>
      <c r="BT63" s="43"/>
      <c r="BU63" s="43"/>
      <c r="BV63" s="45"/>
      <c r="BW63" s="45"/>
      <c r="BX63" s="43"/>
      <c r="BY63" s="45"/>
      <c r="BZ63" s="43"/>
      <c r="CA63" s="45"/>
      <c r="CB63" s="45"/>
      <c r="CC63" s="45"/>
      <c r="CD63" s="45"/>
      <c r="CE63" s="45"/>
      <c r="CF63" s="39">
        <f t="shared" si="9"/>
        <v>170</v>
      </c>
      <c r="CG63" s="39">
        <f t="shared" si="43"/>
        <v>111.576</v>
      </c>
      <c r="CH63" s="39">
        <v>2789.06172</v>
      </c>
      <c r="CI63" s="39">
        <v>2789.06172</v>
      </c>
      <c r="CJ63" s="39">
        <v>890.6264699999999</v>
      </c>
      <c r="CK63" s="43">
        <v>890.6264699999999</v>
      </c>
      <c r="CL63" s="43"/>
      <c r="CM63" s="43"/>
      <c r="CN63" s="43"/>
      <c r="CO63" s="43"/>
      <c r="CP63" s="43"/>
      <c r="CQ63" s="39"/>
      <c r="CR63" s="43"/>
      <c r="CS63" s="45"/>
      <c r="CT63" s="45"/>
      <c r="CU63" s="45"/>
      <c r="CV63" s="45"/>
      <c r="CW63" s="43"/>
      <c r="CX63" s="43"/>
      <c r="CY63" s="43"/>
      <c r="CZ63" s="39">
        <v>42.781</v>
      </c>
      <c r="DA63" s="39">
        <v>42.781</v>
      </c>
      <c r="DB63" s="43"/>
      <c r="DC63" s="43"/>
      <c r="DD63" s="43"/>
      <c r="DE63" s="43"/>
      <c r="DF63" s="39">
        <f t="shared" si="11"/>
        <v>3722.46919</v>
      </c>
      <c r="DG63" s="39">
        <f t="shared" si="44"/>
        <v>3722.46919</v>
      </c>
      <c r="DH63" s="39"/>
      <c r="DI63" s="39"/>
      <c r="DJ63" s="39">
        <v>0</v>
      </c>
      <c r="DK63" s="39">
        <f t="shared" si="13"/>
        <v>0</v>
      </c>
      <c r="DL63" s="39"/>
      <c r="DM63" s="39"/>
      <c r="DN63" s="43"/>
      <c r="DO63" s="43"/>
      <c r="DP63" s="39">
        <f t="shared" si="14"/>
        <v>0</v>
      </c>
      <c r="DQ63" s="39">
        <f t="shared" si="15"/>
        <v>0</v>
      </c>
      <c r="DR63" s="39"/>
      <c r="DS63" s="39"/>
      <c r="DT63" s="43"/>
      <c r="DU63" s="43"/>
      <c r="DV63" s="43"/>
      <c r="DW63" s="43"/>
      <c r="DX63" s="43"/>
      <c r="DY63" s="43"/>
      <c r="DZ63" s="39"/>
      <c r="EA63" s="39"/>
      <c r="EB63" s="43"/>
      <c r="EC63" s="43"/>
      <c r="ED63" s="43"/>
      <c r="EE63" s="43"/>
      <c r="EF63" s="39">
        <v>911.5</v>
      </c>
      <c r="EG63" s="43">
        <v>911.5</v>
      </c>
      <c r="EH63" s="43">
        <v>1492.5</v>
      </c>
      <c r="EI63" s="39">
        <v>1492.5</v>
      </c>
      <c r="EJ63" s="39">
        <v>154</v>
      </c>
      <c r="EK63" s="43">
        <v>100</v>
      </c>
      <c r="EL63" s="43"/>
      <c r="EM63" s="43"/>
      <c r="EN63" s="45"/>
      <c r="EO63" s="45"/>
      <c r="EP63" s="43"/>
      <c r="EQ63" s="43"/>
      <c r="ER63" s="43"/>
      <c r="ES63" s="43"/>
      <c r="ET63" s="135"/>
      <c r="EU63" s="135"/>
      <c r="EV63" s="135"/>
      <c r="EW63" s="135"/>
      <c r="EX63" s="43"/>
      <c r="EY63" s="43"/>
      <c r="EZ63" s="43">
        <v>50</v>
      </c>
      <c r="FA63" s="43">
        <v>50</v>
      </c>
      <c r="FB63" s="37">
        <f t="shared" si="16"/>
        <v>2608</v>
      </c>
      <c r="FC63" s="37">
        <f t="shared" si="45"/>
        <v>2554</v>
      </c>
      <c r="FD63" s="39"/>
      <c r="FE63" s="39"/>
      <c r="FF63" s="43"/>
      <c r="FG63" s="43"/>
      <c r="FH63" s="132">
        <f t="shared" si="18"/>
        <v>0</v>
      </c>
      <c r="FI63" s="132">
        <f t="shared" si="19"/>
        <v>0</v>
      </c>
      <c r="FJ63" s="39"/>
      <c r="FK63" s="39"/>
      <c r="FL63" s="43"/>
      <c r="FM63" s="43"/>
      <c r="FN63" s="43"/>
      <c r="FO63" s="43"/>
      <c r="FP63" s="43"/>
      <c r="FQ63" s="43"/>
      <c r="FR63" s="39"/>
      <c r="FS63" s="135"/>
      <c r="FT63" s="43"/>
      <c r="FU63" s="43"/>
      <c r="FV63" s="43"/>
      <c r="FW63" s="43"/>
      <c r="FX63" s="43"/>
      <c r="FY63" s="43"/>
      <c r="FZ63" s="43"/>
      <c r="GA63" s="43"/>
      <c r="GB63" s="43"/>
      <c r="GC63" s="43"/>
      <c r="GD63" s="135"/>
      <c r="GE63" s="135"/>
      <c r="GF63" s="43"/>
      <c r="GG63" s="43"/>
      <c r="GH63" s="43"/>
      <c r="GI63" s="43"/>
      <c r="GJ63" s="43"/>
      <c r="GK63" s="43"/>
      <c r="GL63" s="43"/>
      <c r="GM63" s="43"/>
      <c r="GN63" s="43"/>
      <c r="GO63" s="43"/>
      <c r="GP63" s="43"/>
      <c r="GQ63" s="43"/>
      <c r="GR63" s="43"/>
      <c r="GS63" s="43"/>
      <c r="GT63" s="43"/>
      <c r="GU63" s="43"/>
      <c r="GV63" s="43"/>
      <c r="GW63" s="43"/>
      <c r="GX63" s="45"/>
      <c r="GY63" s="45"/>
      <c r="GZ63" s="43"/>
      <c r="HA63" s="43"/>
      <c r="HB63" s="43"/>
      <c r="HC63" s="43"/>
      <c r="HD63" s="39">
        <f t="shared" si="20"/>
        <v>0</v>
      </c>
      <c r="HE63" s="39">
        <f t="shared" si="46"/>
        <v>0</v>
      </c>
      <c r="HF63" s="39"/>
      <c r="HG63" s="39"/>
      <c r="HH63" s="39"/>
      <c r="HI63" s="43"/>
      <c r="HJ63" s="43"/>
      <c r="HK63" s="43"/>
      <c r="HL63" s="43"/>
      <c r="HM63" s="43"/>
      <c r="HN63" s="136"/>
      <c r="HO63" s="136"/>
      <c r="HP63" s="39">
        <f t="shared" si="22"/>
        <v>0</v>
      </c>
      <c r="HQ63" s="39">
        <f t="shared" si="47"/>
        <v>0</v>
      </c>
      <c r="HR63" s="39"/>
      <c r="HS63" s="39"/>
      <c r="HT63" s="39"/>
      <c r="HU63" s="43"/>
      <c r="HV63" s="39"/>
      <c r="HW63" s="39"/>
      <c r="HX63" s="39">
        <f t="shared" si="24"/>
        <v>0</v>
      </c>
      <c r="HY63" s="39">
        <f t="shared" si="48"/>
        <v>0</v>
      </c>
    </row>
    <row r="64" spans="1:233" ht="12.75" customHeight="1">
      <c r="A64" s="14" t="s">
        <v>240</v>
      </c>
      <c r="B64" s="39"/>
      <c r="C64" s="39"/>
      <c r="D64" s="39">
        <f>202+202+203+169+169+169+169+169+169+135+135+135</f>
        <v>2026</v>
      </c>
      <c r="E64" s="39">
        <f>202+202+203+169+169+169+169+169+169+135+135+135</f>
        <v>2026</v>
      </c>
      <c r="F64" s="39"/>
      <c r="G64" s="39"/>
      <c r="H64" s="34"/>
      <c r="I64" s="34"/>
      <c r="J64" s="34"/>
      <c r="K64" s="34"/>
      <c r="L64" s="34"/>
      <c r="M64" s="34"/>
      <c r="N64" s="34"/>
      <c r="O64" s="34"/>
      <c r="P64" s="34"/>
      <c r="Q64" s="34"/>
      <c r="R64" s="39"/>
      <c r="S64" s="39"/>
      <c r="T64" s="39"/>
      <c r="U64" s="39"/>
      <c r="V64" s="39">
        <v>222.15</v>
      </c>
      <c r="W64" s="39">
        <f>26+89.62+106.53</f>
        <v>222.15</v>
      </c>
      <c r="X64" s="34"/>
      <c r="Y64" s="34"/>
      <c r="Z64" s="34"/>
      <c r="AA64" s="34"/>
      <c r="AB64" s="34"/>
      <c r="AC64" s="34"/>
      <c r="AD64" s="34"/>
      <c r="AE64" s="34"/>
      <c r="AF64" s="39">
        <v>147</v>
      </c>
      <c r="AG64" s="39">
        <f>12.3+12.3+12.3+12.3+12.3+11.8+13.7+12+13.7+11+11+12.3</f>
        <v>147</v>
      </c>
      <c r="AH64" s="126">
        <f t="shared" si="5"/>
        <v>2395.15</v>
      </c>
      <c r="AI64" s="126">
        <f t="shared" si="42"/>
        <v>2395.15</v>
      </c>
      <c r="AJ64" s="43"/>
      <c r="AK64" s="43"/>
      <c r="AL64" s="134"/>
      <c r="AM64" s="41"/>
      <c r="AN64" s="41"/>
      <c r="AO64" s="41"/>
      <c r="AP64" s="41"/>
      <c r="AQ64" s="41"/>
      <c r="AR64" s="39"/>
      <c r="AS64" s="39"/>
      <c r="AT64" s="43">
        <v>10</v>
      </c>
      <c r="AU64" s="43">
        <v>10</v>
      </c>
      <c r="AV64" s="43"/>
      <c r="AW64" s="43"/>
      <c r="AX64" s="43"/>
      <c r="AY64" s="43"/>
      <c r="AZ64" s="39">
        <f t="shared" si="7"/>
        <v>10</v>
      </c>
      <c r="BA64" s="39">
        <f t="shared" si="8"/>
        <v>10</v>
      </c>
      <c r="BB64" s="39">
        <v>0</v>
      </c>
      <c r="BC64" s="39">
        <v>0</v>
      </c>
      <c r="BD64" s="39">
        <v>293.7</v>
      </c>
      <c r="BE64" s="43">
        <v>290.723</v>
      </c>
      <c r="BF64" s="43"/>
      <c r="BG64" s="43"/>
      <c r="BH64" s="43"/>
      <c r="BI64" s="43"/>
      <c r="BJ64" s="43"/>
      <c r="BK64" s="43"/>
      <c r="BL64" s="43"/>
      <c r="BM64" s="43"/>
      <c r="BN64" s="45"/>
      <c r="BO64" s="45"/>
      <c r="BP64" s="45"/>
      <c r="BQ64" s="45"/>
      <c r="BR64" s="43"/>
      <c r="BS64" s="43"/>
      <c r="BT64" s="43"/>
      <c r="BU64" s="43"/>
      <c r="BV64" s="45"/>
      <c r="BW64" s="45"/>
      <c r="BX64" s="43"/>
      <c r="BY64" s="45"/>
      <c r="BZ64" s="43"/>
      <c r="CA64" s="45"/>
      <c r="CB64" s="45"/>
      <c r="CC64" s="45"/>
      <c r="CD64" s="45"/>
      <c r="CE64" s="45"/>
      <c r="CF64" s="39">
        <f t="shared" si="9"/>
        <v>293.7</v>
      </c>
      <c r="CG64" s="39">
        <f t="shared" si="43"/>
        <v>290.723</v>
      </c>
      <c r="CH64" s="39"/>
      <c r="CI64" s="39"/>
      <c r="CJ64" s="39"/>
      <c r="CK64" s="45"/>
      <c r="CL64" s="45"/>
      <c r="CM64" s="43"/>
      <c r="CN64" s="43"/>
      <c r="CO64" s="43"/>
      <c r="CP64" s="43"/>
      <c r="CQ64" s="39"/>
      <c r="CR64" s="43"/>
      <c r="CS64" s="45"/>
      <c r="CT64" s="45"/>
      <c r="CU64" s="45"/>
      <c r="CV64" s="45"/>
      <c r="CW64" s="43"/>
      <c r="CX64" s="43"/>
      <c r="CY64" s="43"/>
      <c r="CZ64" s="39"/>
      <c r="DA64" s="45"/>
      <c r="DB64" s="43"/>
      <c r="DC64" s="43"/>
      <c r="DD64" s="43"/>
      <c r="DE64" s="43"/>
      <c r="DF64" s="39">
        <f t="shared" si="11"/>
        <v>0</v>
      </c>
      <c r="DG64" s="39">
        <f t="shared" si="44"/>
        <v>0</v>
      </c>
      <c r="DH64" s="39"/>
      <c r="DI64" s="39"/>
      <c r="DJ64" s="39">
        <v>0</v>
      </c>
      <c r="DK64" s="39">
        <f t="shared" si="13"/>
        <v>0</v>
      </c>
      <c r="DL64" s="39"/>
      <c r="DM64" s="39"/>
      <c r="DN64" s="43"/>
      <c r="DO64" s="43"/>
      <c r="DP64" s="39">
        <f t="shared" si="14"/>
        <v>0</v>
      </c>
      <c r="DQ64" s="39">
        <f t="shared" si="15"/>
        <v>0</v>
      </c>
      <c r="DR64" s="39"/>
      <c r="DS64" s="39"/>
      <c r="DT64" s="43"/>
      <c r="DU64" s="43"/>
      <c r="DV64" s="43"/>
      <c r="DW64" s="43"/>
      <c r="DX64" s="43"/>
      <c r="DY64" s="43"/>
      <c r="DZ64" s="39"/>
      <c r="EA64" s="39"/>
      <c r="EB64" s="43"/>
      <c r="EC64" s="43"/>
      <c r="ED64" s="43"/>
      <c r="EE64" s="43"/>
      <c r="EF64" s="39">
        <v>1208</v>
      </c>
      <c r="EG64" s="43">
        <v>1207.3333400000001</v>
      </c>
      <c r="EH64" s="43">
        <v>373</v>
      </c>
      <c r="EI64" s="39">
        <v>373</v>
      </c>
      <c r="EJ64" s="39">
        <v>114</v>
      </c>
      <c r="EK64" s="43">
        <v>114</v>
      </c>
      <c r="EL64" s="43"/>
      <c r="EM64" s="43"/>
      <c r="EN64" s="45"/>
      <c r="EO64" s="45"/>
      <c r="EP64" s="43"/>
      <c r="EQ64" s="43"/>
      <c r="ER64" s="43"/>
      <c r="ES64" s="43"/>
      <c r="ET64" s="135"/>
      <c r="EU64" s="135"/>
      <c r="EV64" s="135"/>
      <c r="EW64" s="135"/>
      <c r="EX64" s="43"/>
      <c r="EY64" s="43"/>
      <c r="EZ64" s="43"/>
      <c r="FA64" s="43"/>
      <c r="FB64" s="37">
        <f t="shared" si="16"/>
        <v>1695</v>
      </c>
      <c r="FC64" s="37">
        <f t="shared" si="45"/>
        <v>1694.3333400000001</v>
      </c>
      <c r="FD64" s="39"/>
      <c r="FE64" s="39"/>
      <c r="FF64" s="43"/>
      <c r="FG64" s="43"/>
      <c r="FH64" s="132">
        <f t="shared" si="18"/>
        <v>0</v>
      </c>
      <c r="FI64" s="132">
        <f t="shared" si="19"/>
        <v>0</v>
      </c>
      <c r="FJ64" s="39"/>
      <c r="FK64" s="39"/>
      <c r="FL64" s="43"/>
      <c r="FM64" s="43"/>
      <c r="FN64" s="43"/>
      <c r="FO64" s="43"/>
      <c r="FP64" s="43"/>
      <c r="FQ64" s="43"/>
      <c r="FR64" s="39"/>
      <c r="FS64" s="135"/>
      <c r="FT64" s="43"/>
      <c r="FU64" s="43"/>
      <c r="FV64" s="43"/>
      <c r="FW64" s="43"/>
      <c r="FX64" s="43"/>
      <c r="FY64" s="43"/>
      <c r="FZ64" s="43"/>
      <c r="GA64" s="43"/>
      <c r="GB64" s="43"/>
      <c r="GC64" s="43"/>
      <c r="GD64" s="135"/>
      <c r="GE64" s="135"/>
      <c r="GF64" s="43"/>
      <c r="GG64" s="43"/>
      <c r="GH64" s="43"/>
      <c r="GI64" s="43"/>
      <c r="GJ64" s="43"/>
      <c r="GK64" s="43"/>
      <c r="GL64" s="43"/>
      <c r="GM64" s="43"/>
      <c r="GN64" s="43"/>
      <c r="GO64" s="43"/>
      <c r="GP64" s="43"/>
      <c r="GQ64" s="43"/>
      <c r="GR64" s="43"/>
      <c r="GS64" s="43"/>
      <c r="GT64" s="43"/>
      <c r="GU64" s="43"/>
      <c r="GV64" s="43"/>
      <c r="GW64" s="43"/>
      <c r="GX64" s="45"/>
      <c r="GY64" s="45"/>
      <c r="GZ64" s="43"/>
      <c r="HA64" s="43"/>
      <c r="HB64" s="43"/>
      <c r="HC64" s="43"/>
      <c r="HD64" s="39">
        <f t="shared" si="20"/>
        <v>0</v>
      </c>
      <c r="HE64" s="39">
        <f t="shared" si="46"/>
        <v>0</v>
      </c>
      <c r="HF64" s="39"/>
      <c r="HG64" s="39"/>
      <c r="HH64" s="39"/>
      <c r="HI64" s="43"/>
      <c r="HJ64" s="43"/>
      <c r="HK64" s="43"/>
      <c r="HL64" s="43"/>
      <c r="HM64" s="43"/>
      <c r="HN64" s="136"/>
      <c r="HO64" s="136"/>
      <c r="HP64" s="39">
        <f t="shared" si="22"/>
        <v>0</v>
      </c>
      <c r="HQ64" s="39">
        <f t="shared" si="47"/>
        <v>0</v>
      </c>
      <c r="HR64" s="39"/>
      <c r="HS64" s="39"/>
      <c r="HT64" s="39"/>
      <c r="HU64" s="43"/>
      <c r="HV64" s="39"/>
      <c r="HW64" s="39"/>
      <c r="HX64" s="39">
        <f t="shared" si="24"/>
        <v>0</v>
      </c>
      <c r="HY64" s="39">
        <f t="shared" si="48"/>
        <v>0</v>
      </c>
    </row>
    <row r="65" spans="1:233" ht="12.75">
      <c r="A65" s="14" t="s">
        <v>241</v>
      </c>
      <c r="B65" s="39"/>
      <c r="C65" s="39"/>
      <c r="D65" s="39">
        <f>364+364+364+304+304+303+304+304+303+242.7+242.7+242.6</f>
        <v>3641.9999999999995</v>
      </c>
      <c r="E65" s="39">
        <f>364+364+364+304+304+303+304+304+303+242.7+242.7+242.6</f>
        <v>3641.9999999999995</v>
      </c>
      <c r="F65" s="39"/>
      <c r="G65" s="39"/>
      <c r="H65" s="34"/>
      <c r="I65" s="34"/>
      <c r="J65" s="34"/>
      <c r="K65" s="34"/>
      <c r="L65" s="34"/>
      <c r="M65" s="34"/>
      <c r="N65" s="34"/>
      <c r="O65" s="34"/>
      <c r="P65" s="34"/>
      <c r="Q65" s="34"/>
      <c r="R65" s="39"/>
      <c r="S65" s="39"/>
      <c r="T65" s="39"/>
      <c r="U65" s="39"/>
      <c r="V65" s="39">
        <v>224.4</v>
      </c>
      <c r="W65" s="34">
        <f>58.5+133.9+16+16</f>
        <v>224.4</v>
      </c>
      <c r="X65" s="34"/>
      <c r="Y65" s="34"/>
      <c r="Z65" s="34"/>
      <c r="AA65" s="34"/>
      <c r="AB65" s="34"/>
      <c r="AC65" s="34"/>
      <c r="AD65" s="34"/>
      <c r="AE65" s="34"/>
      <c r="AF65" s="39">
        <v>147</v>
      </c>
      <c r="AG65" s="39">
        <f>12.3+12.3+12.3+12.3+12.3+5.5+8.7+35+12+12+12.3</f>
        <v>147</v>
      </c>
      <c r="AH65" s="126">
        <f t="shared" si="5"/>
        <v>4013.3999999999996</v>
      </c>
      <c r="AI65" s="126">
        <f t="shared" si="42"/>
        <v>4013.3999999999996</v>
      </c>
      <c r="AJ65" s="43"/>
      <c r="AK65" s="43"/>
      <c r="AL65" s="134"/>
      <c r="AM65" s="41"/>
      <c r="AN65" s="41"/>
      <c r="AO65" s="41"/>
      <c r="AP65" s="41"/>
      <c r="AQ65" s="41"/>
      <c r="AR65" s="39"/>
      <c r="AS65" s="39"/>
      <c r="AT65" s="43"/>
      <c r="AU65" s="43"/>
      <c r="AV65" s="43"/>
      <c r="AW65" s="43"/>
      <c r="AX65" s="43"/>
      <c r="AY65" s="43"/>
      <c r="AZ65" s="39">
        <f t="shared" si="7"/>
        <v>0</v>
      </c>
      <c r="BA65" s="39">
        <f t="shared" si="8"/>
        <v>0</v>
      </c>
      <c r="BB65" s="39">
        <v>0</v>
      </c>
      <c r="BC65" s="39">
        <v>0</v>
      </c>
      <c r="BD65" s="39">
        <v>159</v>
      </c>
      <c r="BE65" s="43">
        <v>112.29</v>
      </c>
      <c r="BF65" s="43"/>
      <c r="BG65" s="43"/>
      <c r="BH65" s="43"/>
      <c r="BI65" s="43"/>
      <c r="BJ65" s="43"/>
      <c r="BK65" s="43"/>
      <c r="BL65" s="43">
        <v>12397.8</v>
      </c>
      <c r="BM65" s="43">
        <v>2518</v>
      </c>
      <c r="BN65" s="45"/>
      <c r="BO65" s="45"/>
      <c r="BP65" s="45"/>
      <c r="BQ65" s="45"/>
      <c r="BR65" s="43"/>
      <c r="BS65" s="43"/>
      <c r="BT65" s="43"/>
      <c r="BU65" s="43"/>
      <c r="BV65" s="45"/>
      <c r="BW65" s="45"/>
      <c r="BX65" s="43"/>
      <c r="BY65" s="45"/>
      <c r="BZ65" s="43"/>
      <c r="CA65" s="45"/>
      <c r="CB65" s="45"/>
      <c r="CC65" s="45"/>
      <c r="CD65" s="45"/>
      <c r="CE65" s="45"/>
      <c r="CF65" s="39">
        <f t="shared" si="9"/>
        <v>12556.8</v>
      </c>
      <c r="CG65" s="39">
        <f t="shared" si="43"/>
        <v>2630.29</v>
      </c>
      <c r="CH65" s="39"/>
      <c r="CI65" s="39"/>
      <c r="CJ65" s="39"/>
      <c r="CK65" s="45"/>
      <c r="CL65" s="45"/>
      <c r="CM65" s="43"/>
      <c r="CN65" s="43"/>
      <c r="CO65" s="43"/>
      <c r="CP65" s="43"/>
      <c r="CQ65" s="39"/>
      <c r="CR65" s="43"/>
      <c r="CS65" s="45"/>
      <c r="CT65" s="45"/>
      <c r="CU65" s="45"/>
      <c r="CV65" s="45"/>
      <c r="CW65" s="43"/>
      <c r="CX65" s="43"/>
      <c r="CY65" s="43"/>
      <c r="CZ65" s="39">
        <v>42.781</v>
      </c>
      <c r="DA65" s="39">
        <v>42.781</v>
      </c>
      <c r="DB65" s="43"/>
      <c r="DC65" s="43"/>
      <c r="DD65" s="43"/>
      <c r="DE65" s="43"/>
      <c r="DF65" s="39">
        <f t="shared" si="11"/>
        <v>42.781</v>
      </c>
      <c r="DG65" s="39">
        <f t="shared" si="44"/>
        <v>42.781</v>
      </c>
      <c r="DH65" s="39"/>
      <c r="DI65" s="39"/>
      <c r="DJ65" s="39">
        <v>0</v>
      </c>
      <c r="DK65" s="39">
        <f t="shared" si="13"/>
        <v>0</v>
      </c>
      <c r="DL65" s="39"/>
      <c r="DM65" s="39"/>
      <c r="DN65" s="43"/>
      <c r="DO65" s="43"/>
      <c r="DP65" s="39">
        <f t="shared" si="14"/>
        <v>0</v>
      </c>
      <c r="DQ65" s="39">
        <f t="shared" si="15"/>
        <v>0</v>
      </c>
      <c r="DR65" s="39"/>
      <c r="DS65" s="39"/>
      <c r="DT65" s="43"/>
      <c r="DU65" s="43"/>
      <c r="DV65" s="43"/>
      <c r="DW65" s="43"/>
      <c r="DX65" s="43"/>
      <c r="DY65" s="43"/>
      <c r="DZ65" s="39"/>
      <c r="EA65" s="39"/>
      <c r="EB65" s="43"/>
      <c r="EC65" s="43"/>
      <c r="ED65" s="43"/>
      <c r="EE65" s="43"/>
      <c r="EF65" s="39">
        <v>1989</v>
      </c>
      <c r="EG65" s="43">
        <v>1989</v>
      </c>
      <c r="EH65" s="43">
        <v>571</v>
      </c>
      <c r="EI65" s="39">
        <v>571</v>
      </c>
      <c r="EJ65" s="39">
        <v>117</v>
      </c>
      <c r="EK65" s="43">
        <v>117</v>
      </c>
      <c r="EL65" s="43"/>
      <c r="EM65" s="43"/>
      <c r="EN65" s="45"/>
      <c r="EO65" s="45"/>
      <c r="EP65" s="43"/>
      <c r="EQ65" s="43"/>
      <c r="ER65" s="43"/>
      <c r="ES65" s="43"/>
      <c r="ET65" s="135"/>
      <c r="EU65" s="135"/>
      <c r="EV65" s="135"/>
      <c r="EW65" s="135"/>
      <c r="EX65" s="43"/>
      <c r="EY65" s="43"/>
      <c r="EZ65" s="43"/>
      <c r="FA65" s="43"/>
      <c r="FB65" s="37">
        <f t="shared" si="16"/>
        <v>2677</v>
      </c>
      <c r="FC65" s="37">
        <f t="shared" si="45"/>
        <v>2677</v>
      </c>
      <c r="FD65" s="39"/>
      <c r="FE65" s="39"/>
      <c r="FF65" s="43"/>
      <c r="FG65" s="43"/>
      <c r="FH65" s="132">
        <f t="shared" si="18"/>
        <v>0</v>
      </c>
      <c r="FI65" s="132">
        <f t="shared" si="19"/>
        <v>0</v>
      </c>
      <c r="FJ65" s="39"/>
      <c r="FK65" s="39"/>
      <c r="FL65" s="43"/>
      <c r="FM65" s="43"/>
      <c r="FN65" s="43"/>
      <c r="FO65" s="43"/>
      <c r="FP65" s="43"/>
      <c r="FQ65" s="43"/>
      <c r="FR65" s="39"/>
      <c r="FS65" s="135"/>
      <c r="FT65" s="43"/>
      <c r="FU65" s="43"/>
      <c r="FV65" s="43"/>
      <c r="FW65" s="43"/>
      <c r="FX65" s="43"/>
      <c r="FY65" s="43"/>
      <c r="FZ65" s="43"/>
      <c r="GA65" s="43"/>
      <c r="GB65" s="43"/>
      <c r="GC65" s="43"/>
      <c r="GD65" s="135"/>
      <c r="GE65" s="135"/>
      <c r="GF65" s="43"/>
      <c r="GG65" s="43"/>
      <c r="GH65" s="43"/>
      <c r="GI65" s="43"/>
      <c r="GJ65" s="43"/>
      <c r="GK65" s="43"/>
      <c r="GL65" s="43"/>
      <c r="GM65" s="43"/>
      <c r="GN65" s="43"/>
      <c r="GO65" s="43"/>
      <c r="GP65" s="43"/>
      <c r="GQ65" s="43"/>
      <c r="GR65" s="43"/>
      <c r="GS65" s="43"/>
      <c r="GT65" s="43"/>
      <c r="GU65" s="43"/>
      <c r="GV65" s="43"/>
      <c r="GW65" s="43"/>
      <c r="GX65" s="45"/>
      <c r="GY65" s="45"/>
      <c r="GZ65" s="43"/>
      <c r="HA65" s="43"/>
      <c r="HB65" s="43"/>
      <c r="HC65" s="43"/>
      <c r="HD65" s="39">
        <f t="shared" si="20"/>
        <v>0</v>
      </c>
      <c r="HE65" s="39">
        <f t="shared" si="46"/>
        <v>0</v>
      </c>
      <c r="HF65" s="39"/>
      <c r="HG65" s="39"/>
      <c r="HH65" s="39"/>
      <c r="HI65" s="43"/>
      <c r="HJ65" s="43"/>
      <c r="HK65" s="43"/>
      <c r="HL65" s="43"/>
      <c r="HM65" s="43"/>
      <c r="HN65" s="136"/>
      <c r="HO65" s="136"/>
      <c r="HP65" s="39">
        <f t="shared" si="22"/>
        <v>0</v>
      </c>
      <c r="HQ65" s="39">
        <f t="shared" si="47"/>
        <v>0</v>
      </c>
      <c r="HR65" s="39"/>
      <c r="HS65" s="39"/>
      <c r="HT65" s="39"/>
      <c r="HU65" s="43"/>
      <c r="HV65" s="39"/>
      <c r="HW65" s="39"/>
      <c r="HX65" s="39">
        <f t="shared" si="24"/>
        <v>0</v>
      </c>
      <c r="HY65" s="39">
        <f t="shared" si="48"/>
        <v>0</v>
      </c>
    </row>
    <row r="66" spans="1:233" ht="12.75" customHeight="1">
      <c r="A66" s="14" t="s">
        <v>242</v>
      </c>
      <c r="B66" s="39"/>
      <c r="C66" s="39"/>
      <c r="D66" s="39">
        <f>157+157+157+131+131+130+131+131+130+105+105+105</f>
        <v>1570</v>
      </c>
      <c r="E66" s="39">
        <f>157+157+157+131+131+130+131+131+130+105+105+105</f>
        <v>1570</v>
      </c>
      <c r="F66" s="39"/>
      <c r="G66" s="39"/>
      <c r="H66" s="34"/>
      <c r="I66" s="34"/>
      <c r="J66" s="34"/>
      <c r="K66" s="34"/>
      <c r="L66" s="34"/>
      <c r="M66" s="34"/>
      <c r="N66" s="34"/>
      <c r="O66" s="34"/>
      <c r="P66" s="34"/>
      <c r="Q66" s="34"/>
      <c r="R66" s="39"/>
      <c r="S66" s="39"/>
      <c r="T66" s="39">
        <v>0.25442</v>
      </c>
      <c r="U66" s="39">
        <v>0.25442</v>
      </c>
      <c r="V66" s="39"/>
      <c r="W66" s="34"/>
      <c r="X66" s="34"/>
      <c r="Y66" s="34"/>
      <c r="Z66" s="34"/>
      <c r="AA66" s="34"/>
      <c r="AB66" s="34"/>
      <c r="AC66" s="34"/>
      <c r="AD66" s="34"/>
      <c r="AE66" s="34"/>
      <c r="AF66" s="39">
        <v>73</v>
      </c>
      <c r="AG66" s="39">
        <f>6.1+6.1+6.1+6.1+6.1+10+10+10+12.5</f>
        <v>73</v>
      </c>
      <c r="AH66" s="126">
        <f t="shared" si="5"/>
        <v>1643.25442</v>
      </c>
      <c r="AI66" s="126">
        <f t="shared" si="42"/>
        <v>1643.25442</v>
      </c>
      <c r="AJ66" s="43"/>
      <c r="AK66" s="43"/>
      <c r="AL66" s="134"/>
      <c r="AM66" s="41"/>
      <c r="AN66" s="41"/>
      <c r="AO66" s="41"/>
      <c r="AP66" s="41"/>
      <c r="AQ66" s="41"/>
      <c r="AR66" s="39"/>
      <c r="AS66" s="39"/>
      <c r="AT66" s="43"/>
      <c r="AU66" s="43"/>
      <c r="AV66" s="43"/>
      <c r="AW66" s="43"/>
      <c r="AX66" s="43"/>
      <c r="AY66" s="43"/>
      <c r="AZ66" s="39">
        <f t="shared" si="7"/>
        <v>0</v>
      </c>
      <c r="BA66" s="39">
        <f t="shared" si="8"/>
        <v>0</v>
      </c>
      <c r="BB66" s="39">
        <v>0</v>
      </c>
      <c r="BC66" s="39">
        <v>0</v>
      </c>
      <c r="BD66" s="39">
        <v>173</v>
      </c>
      <c r="BE66" s="43">
        <v>125.873</v>
      </c>
      <c r="BF66" s="43"/>
      <c r="BG66" s="43"/>
      <c r="BH66" s="43"/>
      <c r="BI66" s="43"/>
      <c r="BJ66" s="43"/>
      <c r="BK66" s="43"/>
      <c r="BL66" s="43"/>
      <c r="BM66" s="43"/>
      <c r="BN66" s="45"/>
      <c r="BO66" s="45"/>
      <c r="BP66" s="45"/>
      <c r="BQ66" s="45"/>
      <c r="BR66" s="43"/>
      <c r="BS66" s="43"/>
      <c r="BT66" s="43"/>
      <c r="BU66" s="43"/>
      <c r="BV66" s="45"/>
      <c r="BW66" s="45"/>
      <c r="BX66" s="43"/>
      <c r="BY66" s="45"/>
      <c r="BZ66" s="43"/>
      <c r="CA66" s="45"/>
      <c r="CB66" s="45"/>
      <c r="CC66" s="45"/>
      <c r="CD66" s="45"/>
      <c r="CE66" s="45"/>
      <c r="CF66" s="39">
        <f t="shared" si="9"/>
        <v>173</v>
      </c>
      <c r="CG66" s="39">
        <f t="shared" si="43"/>
        <v>125.873</v>
      </c>
      <c r="CH66" s="39"/>
      <c r="CI66" s="39"/>
      <c r="CJ66" s="39"/>
      <c r="CK66" s="45"/>
      <c r="CL66" s="45"/>
      <c r="CM66" s="43"/>
      <c r="CN66" s="43"/>
      <c r="CO66" s="43"/>
      <c r="CP66" s="43"/>
      <c r="CQ66" s="39"/>
      <c r="CR66" s="43"/>
      <c r="CS66" s="45"/>
      <c r="CT66" s="45"/>
      <c r="CU66" s="45"/>
      <c r="CV66" s="45"/>
      <c r="CW66" s="43"/>
      <c r="CX66" s="43"/>
      <c r="CY66" s="43"/>
      <c r="CZ66" s="39">
        <v>14.26</v>
      </c>
      <c r="DA66" s="39">
        <v>14.26</v>
      </c>
      <c r="DB66" s="43"/>
      <c r="DC66" s="43"/>
      <c r="DD66" s="43"/>
      <c r="DE66" s="43"/>
      <c r="DF66" s="39">
        <f t="shared" si="11"/>
        <v>14.26</v>
      </c>
      <c r="DG66" s="39">
        <f t="shared" si="44"/>
        <v>14.26</v>
      </c>
      <c r="DH66" s="39"/>
      <c r="DI66" s="39"/>
      <c r="DJ66" s="39">
        <v>0</v>
      </c>
      <c r="DK66" s="39">
        <f t="shared" si="13"/>
        <v>0</v>
      </c>
      <c r="DL66" s="39"/>
      <c r="DM66" s="39"/>
      <c r="DN66" s="43"/>
      <c r="DO66" s="43"/>
      <c r="DP66" s="39">
        <f t="shared" si="14"/>
        <v>0</v>
      </c>
      <c r="DQ66" s="39">
        <f t="shared" si="15"/>
        <v>0</v>
      </c>
      <c r="DR66" s="39"/>
      <c r="DS66" s="39"/>
      <c r="DT66" s="43"/>
      <c r="DU66" s="43"/>
      <c r="DV66" s="43"/>
      <c r="DW66" s="43"/>
      <c r="DX66" s="43"/>
      <c r="DY66" s="43"/>
      <c r="DZ66" s="39"/>
      <c r="EA66" s="39"/>
      <c r="EB66" s="43"/>
      <c r="EC66" s="43"/>
      <c r="ED66" s="43"/>
      <c r="EE66" s="43"/>
      <c r="EF66" s="39"/>
      <c r="EG66" s="43"/>
      <c r="EH66" s="43"/>
      <c r="EI66" s="45"/>
      <c r="EJ66" s="39">
        <v>29</v>
      </c>
      <c r="EK66" s="43">
        <v>29</v>
      </c>
      <c r="EL66" s="43"/>
      <c r="EM66" s="43"/>
      <c r="EN66" s="45"/>
      <c r="EO66" s="45"/>
      <c r="EP66" s="43"/>
      <c r="EQ66" s="43"/>
      <c r="ER66" s="43"/>
      <c r="ES66" s="43"/>
      <c r="ET66" s="135"/>
      <c r="EU66" s="135"/>
      <c r="EV66" s="135"/>
      <c r="EW66" s="135"/>
      <c r="EX66" s="43"/>
      <c r="EY66" s="43"/>
      <c r="EZ66" s="43"/>
      <c r="FA66" s="43"/>
      <c r="FB66" s="37">
        <f t="shared" si="16"/>
        <v>29</v>
      </c>
      <c r="FC66" s="37">
        <f t="shared" si="45"/>
        <v>29</v>
      </c>
      <c r="FD66" s="39"/>
      <c r="FE66" s="39"/>
      <c r="FF66" s="43"/>
      <c r="FG66" s="43"/>
      <c r="FH66" s="132">
        <f t="shared" si="18"/>
        <v>0</v>
      </c>
      <c r="FI66" s="132">
        <f t="shared" si="19"/>
        <v>0</v>
      </c>
      <c r="FJ66" s="39"/>
      <c r="FK66" s="39"/>
      <c r="FL66" s="43"/>
      <c r="FM66" s="43"/>
      <c r="FN66" s="43"/>
      <c r="FO66" s="43"/>
      <c r="FP66" s="43"/>
      <c r="FQ66" s="43"/>
      <c r="FR66" s="39"/>
      <c r="FS66" s="135"/>
      <c r="FT66" s="43"/>
      <c r="FU66" s="43"/>
      <c r="FV66" s="43"/>
      <c r="FW66" s="43"/>
      <c r="FX66" s="43"/>
      <c r="FY66" s="43"/>
      <c r="FZ66" s="43"/>
      <c r="GA66" s="43"/>
      <c r="GB66" s="43"/>
      <c r="GC66" s="43"/>
      <c r="GD66" s="135"/>
      <c r="GE66" s="135"/>
      <c r="GF66" s="43"/>
      <c r="GG66" s="43"/>
      <c r="GH66" s="43"/>
      <c r="GI66" s="43"/>
      <c r="GJ66" s="43"/>
      <c r="GK66" s="43"/>
      <c r="GL66" s="43"/>
      <c r="GM66" s="43"/>
      <c r="GN66" s="43"/>
      <c r="GO66" s="43"/>
      <c r="GP66" s="43"/>
      <c r="GQ66" s="43"/>
      <c r="GR66" s="43"/>
      <c r="GS66" s="43"/>
      <c r="GT66" s="43"/>
      <c r="GU66" s="43"/>
      <c r="GV66" s="43"/>
      <c r="GW66" s="43"/>
      <c r="GX66" s="45"/>
      <c r="GY66" s="45"/>
      <c r="GZ66" s="43"/>
      <c r="HA66" s="43"/>
      <c r="HB66" s="43"/>
      <c r="HC66" s="43"/>
      <c r="HD66" s="39">
        <f t="shared" si="20"/>
        <v>0</v>
      </c>
      <c r="HE66" s="39">
        <f t="shared" si="46"/>
        <v>0</v>
      </c>
      <c r="HF66" s="39"/>
      <c r="HG66" s="39"/>
      <c r="HH66" s="39"/>
      <c r="HI66" s="43"/>
      <c r="HJ66" s="43"/>
      <c r="HK66" s="43"/>
      <c r="HL66" s="43"/>
      <c r="HM66" s="43"/>
      <c r="HN66" s="136"/>
      <c r="HO66" s="136"/>
      <c r="HP66" s="39">
        <f t="shared" si="22"/>
        <v>0</v>
      </c>
      <c r="HQ66" s="39">
        <f t="shared" si="47"/>
        <v>0</v>
      </c>
      <c r="HR66" s="39"/>
      <c r="HS66" s="39"/>
      <c r="HT66" s="39"/>
      <c r="HU66" s="43"/>
      <c r="HV66" s="39"/>
      <c r="HW66" s="39"/>
      <c r="HX66" s="39">
        <f t="shared" si="24"/>
        <v>0</v>
      </c>
      <c r="HY66" s="39">
        <f t="shared" si="48"/>
        <v>0</v>
      </c>
    </row>
    <row r="67" spans="1:233" ht="12.75">
      <c r="A67" s="14" t="s">
        <v>243</v>
      </c>
      <c r="B67" s="39"/>
      <c r="C67" s="39"/>
      <c r="D67" s="39">
        <f>205+205+206+171+171+171+171+171+171+136.7+136.7+136.6</f>
        <v>2052</v>
      </c>
      <c r="E67" s="39">
        <f>205+205+206+171+171+171+171+171+171+136.7+136.7+136.6</f>
        <v>2052</v>
      </c>
      <c r="F67" s="39"/>
      <c r="G67" s="39"/>
      <c r="H67" s="34"/>
      <c r="I67" s="34"/>
      <c r="J67" s="34"/>
      <c r="K67" s="34"/>
      <c r="L67" s="34"/>
      <c r="M67" s="34"/>
      <c r="N67" s="34"/>
      <c r="O67" s="34"/>
      <c r="P67" s="34"/>
      <c r="Q67" s="34"/>
      <c r="R67" s="39">
        <v>35</v>
      </c>
      <c r="S67" s="39">
        <f>32.6244</f>
        <v>32.6244</v>
      </c>
      <c r="T67" s="39">
        <v>1011.9489100000001</v>
      </c>
      <c r="U67" s="39">
        <f>10.76891+132.12+869.06</f>
        <v>1011.94891</v>
      </c>
      <c r="V67" s="39">
        <v>200</v>
      </c>
      <c r="W67" s="39">
        <v>200</v>
      </c>
      <c r="X67" s="34"/>
      <c r="Y67" s="34"/>
      <c r="Z67" s="34"/>
      <c r="AA67" s="34"/>
      <c r="AB67" s="34"/>
      <c r="AC67" s="34"/>
      <c r="AD67" s="34"/>
      <c r="AE67" s="34"/>
      <c r="AF67" s="39">
        <v>147</v>
      </c>
      <c r="AG67" s="39">
        <f>12.3+12.3+12.3+12.3+12.3+11+37+11.2+12+14.3</f>
        <v>147</v>
      </c>
      <c r="AH67" s="126">
        <f t="shared" si="5"/>
        <v>3445.94891</v>
      </c>
      <c r="AI67" s="126">
        <f t="shared" si="42"/>
        <v>3443.57331</v>
      </c>
      <c r="AJ67" s="43"/>
      <c r="AK67" s="43"/>
      <c r="AL67" s="134"/>
      <c r="AM67" s="41"/>
      <c r="AN67" s="41"/>
      <c r="AO67" s="41"/>
      <c r="AP67" s="41"/>
      <c r="AQ67" s="41"/>
      <c r="AR67" s="39"/>
      <c r="AS67" s="39"/>
      <c r="AT67" s="43"/>
      <c r="AU67" s="43"/>
      <c r="AV67" s="43"/>
      <c r="AW67" s="43"/>
      <c r="AX67" s="43"/>
      <c r="AY67" s="43"/>
      <c r="AZ67" s="39">
        <f t="shared" si="7"/>
        <v>0</v>
      </c>
      <c r="BA67" s="39">
        <f t="shared" si="8"/>
        <v>0</v>
      </c>
      <c r="BB67" s="39">
        <v>0</v>
      </c>
      <c r="BC67" s="39">
        <v>0</v>
      </c>
      <c r="BD67" s="39">
        <v>163.15</v>
      </c>
      <c r="BE67" s="43">
        <v>58.492</v>
      </c>
      <c r="BF67" s="43"/>
      <c r="BG67" s="43"/>
      <c r="BH67" s="43"/>
      <c r="BI67" s="43"/>
      <c r="BJ67" s="43"/>
      <c r="BK67" s="43"/>
      <c r="BL67" s="43"/>
      <c r="BM67" s="43"/>
      <c r="BN67" s="45"/>
      <c r="BO67" s="45"/>
      <c r="BP67" s="45"/>
      <c r="BQ67" s="45"/>
      <c r="BR67" s="43"/>
      <c r="BS67" s="43"/>
      <c r="BT67" s="43"/>
      <c r="BU67" s="43"/>
      <c r="BV67" s="45"/>
      <c r="BW67" s="45"/>
      <c r="BX67" s="43"/>
      <c r="BY67" s="45"/>
      <c r="BZ67" s="43"/>
      <c r="CA67" s="45"/>
      <c r="CB67" s="45"/>
      <c r="CC67" s="45"/>
      <c r="CD67" s="45"/>
      <c r="CE67" s="45"/>
      <c r="CF67" s="39">
        <f t="shared" si="9"/>
        <v>163.15</v>
      </c>
      <c r="CG67" s="39">
        <f t="shared" si="43"/>
        <v>58.492</v>
      </c>
      <c r="CH67" s="39"/>
      <c r="CI67" s="39"/>
      <c r="CJ67" s="39"/>
      <c r="CK67" s="45"/>
      <c r="CL67" s="45"/>
      <c r="CM67" s="43"/>
      <c r="CN67" s="43"/>
      <c r="CO67" s="43"/>
      <c r="CP67" s="43"/>
      <c r="CQ67" s="39"/>
      <c r="CR67" s="43"/>
      <c r="CS67" s="45"/>
      <c r="CT67" s="45"/>
      <c r="CU67" s="45"/>
      <c r="CV67" s="45"/>
      <c r="CW67" s="43"/>
      <c r="CX67" s="43"/>
      <c r="CY67" s="43"/>
      <c r="CZ67" s="39"/>
      <c r="DA67" s="45"/>
      <c r="DB67" s="43"/>
      <c r="DC67" s="43"/>
      <c r="DD67" s="43"/>
      <c r="DE67" s="43"/>
      <c r="DF67" s="39">
        <f t="shared" si="11"/>
        <v>0</v>
      </c>
      <c r="DG67" s="39">
        <f t="shared" si="44"/>
        <v>0</v>
      </c>
      <c r="DH67" s="39"/>
      <c r="DI67" s="39"/>
      <c r="DJ67" s="39">
        <v>0</v>
      </c>
      <c r="DK67" s="39">
        <f t="shared" si="13"/>
        <v>0</v>
      </c>
      <c r="DL67" s="39"/>
      <c r="DM67" s="39"/>
      <c r="DN67" s="43"/>
      <c r="DO67" s="43"/>
      <c r="DP67" s="39">
        <f t="shared" si="14"/>
        <v>0</v>
      </c>
      <c r="DQ67" s="39">
        <f t="shared" si="15"/>
        <v>0</v>
      </c>
      <c r="DR67" s="39"/>
      <c r="DS67" s="39"/>
      <c r="DT67" s="43"/>
      <c r="DU67" s="43"/>
      <c r="DV67" s="43"/>
      <c r="DW67" s="43"/>
      <c r="DX67" s="43"/>
      <c r="DY67" s="43"/>
      <c r="DZ67" s="39"/>
      <c r="EA67" s="39"/>
      <c r="EB67" s="43"/>
      <c r="EC67" s="43"/>
      <c r="ED67" s="43"/>
      <c r="EE67" s="43"/>
      <c r="EF67" s="39">
        <v>1000</v>
      </c>
      <c r="EG67" s="43">
        <v>992.24858</v>
      </c>
      <c r="EH67" s="43">
        <v>398</v>
      </c>
      <c r="EI67" s="39">
        <v>398</v>
      </c>
      <c r="EJ67" s="39">
        <v>21</v>
      </c>
      <c r="EK67" s="43">
        <v>21</v>
      </c>
      <c r="EL67" s="43"/>
      <c r="EM67" s="43"/>
      <c r="EN67" s="45"/>
      <c r="EO67" s="45"/>
      <c r="EP67" s="43"/>
      <c r="EQ67" s="43"/>
      <c r="ER67" s="43"/>
      <c r="ES67" s="43"/>
      <c r="ET67" s="135"/>
      <c r="EU67" s="135"/>
      <c r="EV67" s="135"/>
      <c r="EW67" s="135"/>
      <c r="EX67" s="43"/>
      <c r="EY67" s="43"/>
      <c r="EZ67" s="43"/>
      <c r="FA67" s="43"/>
      <c r="FB67" s="37">
        <f t="shared" si="16"/>
        <v>1419</v>
      </c>
      <c r="FC67" s="37">
        <f t="shared" si="45"/>
        <v>1411.24858</v>
      </c>
      <c r="FD67" s="39"/>
      <c r="FE67" s="39"/>
      <c r="FF67" s="43"/>
      <c r="FG67" s="43"/>
      <c r="FH67" s="132">
        <f t="shared" si="18"/>
        <v>0</v>
      </c>
      <c r="FI67" s="132">
        <f t="shared" si="19"/>
        <v>0</v>
      </c>
      <c r="FJ67" s="39"/>
      <c r="FK67" s="39"/>
      <c r="FL67" s="43"/>
      <c r="FM67" s="43"/>
      <c r="FN67" s="43"/>
      <c r="FO67" s="43"/>
      <c r="FP67" s="43"/>
      <c r="FQ67" s="43"/>
      <c r="FR67" s="39"/>
      <c r="FS67" s="135"/>
      <c r="FT67" s="43"/>
      <c r="FU67" s="43"/>
      <c r="FV67" s="43"/>
      <c r="FW67" s="43"/>
      <c r="FX67" s="43"/>
      <c r="FY67" s="43"/>
      <c r="FZ67" s="43"/>
      <c r="GA67" s="43"/>
      <c r="GB67" s="43"/>
      <c r="GC67" s="43"/>
      <c r="GD67" s="135"/>
      <c r="GE67" s="135"/>
      <c r="GF67" s="43"/>
      <c r="GG67" s="43"/>
      <c r="GH67" s="43"/>
      <c r="GI67" s="43"/>
      <c r="GJ67" s="43"/>
      <c r="GK67" s="43"/>
      <c r="GL67" s="43"/>
      <c r="GM67" s="43"/>
      <c r="GN67" s="43"/>
      <c r="GO67" s="43"/>
      <c r="GP67" s="43"/>
      <c r="GQ67" s="43"/>
      <c r="GR67" s="43"/>
      <c r="GS67" s="43"/>
      <c r="GT67" s="43"/>
      <c r="GU67" s="43"/>
      <c r="GV67" s="43"/>
      <c r="GW67" s="43"/>
      <c r="GX67" s="45"/>
      <c r="GY67" s="45"/>
      <c r="GZ67" s="43"/>
      <c r="HA67" s="43"/>
      <c r="HB67" s="43"/>
      <c r="HC67" s="43"/>
      <c r="HD67" s="39">
        <f t="shared" si="20"/>
        <v>0</v>
      </c>
      <c r="HE67" s="39">
        <f t="shared" si="46"/>
        <v>0</v>
      </c>
      <c r="HF67" s="39"/>
      <c r="HG67" s="39"/>
      <c r="HH67" s="39"/>
      <c r="HI67" s="43"/>
      <c r="HJ67" s="43"/>
      <c r="HK67" s="43"/>
      <c r="HL67" s="43"/>
      <c r="HM67" s="43"/>
      <c r="HN67" s="136"/>
      <c r="HO67" s="136"/>
      <c r="HP67" s="39">
        <f t="shared" si="22"/>
        <v>0</v>
      </c>
      <c r="HQ67" s="39">
        <f t="shared" si="47"/>
        <v>0</v>
      </c>
      <c r="HR67" s="39"/>
      <c r="HS67" s="39"/>
      <c r="HT67" s="39"/>
      <c r="HU67" s="43"/>
      <c r="HV67" s="39"/>
      <c r="HW67" s="39"/>
      <c r="HX67" s="39">
        <f t="shared" si="24"/>
        <v>0</v>
      </c>
      <c r="HY67" s="39">
        <f t="shared" si="48"/>
        <v>0</v>
      </c>
    </row>
    <row r="68" spans="1:233" ht="12.75" customHeight="1">
      <c r="A68" s="13" t="s">
        <v>134</v>
      </c>
      <c r="B68" s="39">
        <f>SUM(B69:B74)</f>
        <v>0</v>
      </c>
      <c r="C68" s="39">
        <f aca="true" t="shared" si="53" ref="C68:BN68">SUM(C69:C74)</f>
        <v>0</v>
      </c>
      <c r="D68" s="39">
        <f t="shared" si="53"/>
        <v>15299</v>
      </c>
      <c r="E68" s="39">
        <f t="shared" si="53"/>
        <v>15299</v>
      </c>
      <c r="F68" s="39">
        <f t="shared" si="53"/>
        <v>9602</v>
      </c>
      <c r="G68" s="39">
        <f t="shared" si="53"/>
        <v>9602</v>
      </c>
      <c r="H68" s="39">
        <f t="shared" si="53"/>
        <v>0</v>
      </c>
      <c r="I68" s="39">
        <f t="shared" si="53"/>
        <v>0</v>
      </c>
      <c r="J68" s="39">
        <f t="shared" si="53"/>
        <v>0</v>
      </c>
      <c r="K68" s="39">
        <f t="shared" si="53"/>
        <v>0</v>
      </c>
      <c r="L68" s="39">
        <f t="shared" si="53"/>
        <v>0</v>
      </c>
      <c r="M68" s="39">
        <f t="shared" si="53"/>
        <v>0</v>
      </c>
      <c r="N68" s="39">
        <f t="shared" si="53"/>
        <v>0</v>
      </c>
      <c r="O68" s="39">
        <f t="shared" si="53"/>
        <v>0</v>
      </c>
      <c r="P68" s="39">
        <f t="shared" si="53"/>
        <v>0</v>
      </c>
      <c r="Q68" s="39">
        <f t="shared" si="53"/>
        <v>0</v>
      </c>
      <c r="R68" s="39">
        <f t="shared" si="53"/>
        <v>1640</v>
      </c>
      <c r="S68" s="39">
        <f t="shared" si="53"/>
        <v>1637.16529</v>
      </c>
      <c r="T68" s="39">
        <f t="shared" si="53"/>
        <v>11352.49306</v>
      </c>
      <c r="U68" s="39">
        <f t="shared" si="53"/>
        <v>11352.49306</v>
      </c>
      <c r="V68" s="39">
        <f t="shared" si="53"/>
        <v>0</v>
      </c>
      <c r="W68" s="39">
        <f t="shared" si="53"/>
        <v>0</v>
      </c>
      <c r="X68" s="39">
        <f t="shared" si="53"/>
        <v>0</v>
      </c>
      <c r="Y68" s="39">
        <f t="shared" si="53"/>
        <v>0</v>
      </c>
      <c r="Z68" s="39">
        <f t="shared" si="53"/>
        <v>0</v>
      </c>
      <c r="AA68" s="39">
        <f t="shared" si="53"/>
        <v>0</v>
      </c>
      <c r="AB68" s="39">
        <f t="shared" si="53"/>
        <v>0</v>
      </c>
      <c r="AC68" s="39">
        <f t="shared" si="53"/>
        <v>0</v>
      </c>
      <c r="AD68" s="39">
        <f t="shared" si="53"/>
        <v>0</v>
      </c>
      <c r="AE68" s="39">
        <f t="shared" si="53"/>
        <v>0</v>
      </c>
      <c r="AF68" s="39">
        <f t="shared" si="53"/>
        <v>588</v>
      </c>
      <c r="AG68" s="39">
        <f t="shared" si="53"/>
        <v>503.19572</v>
      </c>
      <c r="AH68" s="39">
        <f t="shared" si="53"/>
        <v>38481.49306</v>
      </c>
      <c r="AI68" s="39">
        <f t="shared" si="53"/>
        <v>38393.85407</v>
      </c>
      <c r="AJ68" s="39">
        <f t="shared" si="53"/>
        <v>361</v>
      </c>
      <c r="AK68" s="39">
        <f t="shared" si="53"/>
        <v>361</v>
      </c>
      <c r="AL68" s="39">
        <f t="shared" si="53"/>
        <v>0</v>
      </c>
      <c r="AM68" s="39">
        <f t="shared" si="53"/>
        <v>0</v>
      </c>
      <c r="AN68" s="39">
        <f t="shared" si="53"/>
        <v>0</v>
      </c>
      <c r="AO68" s="39">
        <f t="shared" si="53"/>
        <v>0</v>
      </c>
      <c r="AP68" s="39">
        <f t="shared" si="53"/>
        <v>0</v>
      </c>
      <c r="AQ68" s="39">
        <f t="shared" si="53"/>
        <v>0</v>
      </c>
      <c r="AR68" s="39">
        <f t="shared" si="53"/>
        <v>0</v>
      </c>
      <c r="AS68" s="39">
        <f t="shared" si="53"/>
        <v>0</v>
      </c>
      <c r="AT68" s="39">
        <f t="shared" si="53"/>
        <v>30</v>
      </c>
      <c r="AU68" s="39">
        <f t="shared" si="53"/>
        <v>30</v>
      </c>
      <c r="AV68" s="39">
        <f t="shared" si="53"/>
        <v>0</v>
      </c>
      <c r="AW68" s="39">
        <f t="shared" si="53"/>
        <v>0</v>
      </c>
      <c r="AX68" s="39">
        <f t="shared" si="53"/>
        <v>0</v>
      </c>
      <c r="AY68" s="39">
        <f t="shared" si="53"/>
        <v>0</v>
      </c>
      <c r="AZ68" s="39">
        <f t="shared" si="53"/>
        <v>391</v>
      </c>
      <c r="BA68" s="39">
        <f t="shared" si="53"/>
        <v>391</v>
      </c>
      <c r="BB68" s="39">
        <f t="shared" si="53"/>
        <v>2323</v>
      </c>
      <c r="BC68" s="39">
        <f t="shared" si="53"/>
        <v>2323</v>
      </c>
      <c r="BD68" s="39">
        <f t="shared" si="53"/>
        <v>44.6</v>
      </c>
      <c r="BE68" s="39">
        <f t="shared" si="53"/>
        <v>44.59</v>
      </c>
      <c r="BF68" s="39">
        <f t="shared" si="53"/>
        <v>0</v>
      </c>
      <c r="BG68" s="39">
        <f t="shared" si="53"/>
        <v>0</v>
      </c>
      <c r="BH68" s="39">
        <f t="shared" si="53"/>
        <v>9900</v>
      </c>
      <c r="BI68" s="39">
        <f t="shared" si="53"/>
        <v>9900</v>
      </c>
      <c r="BJ68" s="39">
        <f t="shared" si="53"/>
        <v>0</v>
      </c>
      <c r="BK68" s="39">
        <f t="shared" si="53"/>
        <v>0</v>
      </c>
      <c r="BL68" s="39">
        <f t="shared" si="53"/>
        <v>14835.8</v>
      </c>
      <c r="BM68" s="39">
        <f t="shared" si="53"/>
        <v>14835.8</v>
      </c>
      <c r="BN68" s="39">
        <f t="shared" si="53"/>
        <v>402.759</v>
      </c>
      <c r="BO68" s="39">
        <f aca="true" t="shared" si="54" ref="BO68:DZ68">SUM(BO69:BO74)</f>
        <v>402.759</v>
      </c>
      <c r="BP68" s="39">
        <f t="shared" si="54"/>
        <v>0</v>
      </c>
      <c r="BQ68" s="39">
        <f t="shared" si="54"/>
        <v>0</v>
      </c>
      <c r="BR68" s="39">
        <f t="shared" si="54"/>
        <v>0</v>
      </c>
      <c r="BS68" s="39">
        <f t="shared" si="54"/>
        <v>0</v>
      </c>
      <c r="BT68" s="39">
        <f t="shared" si="54"/>
        <v>2127.9030000000002</v>
      </c>
      <c r="BU68" s="39">
        <f t="shared" si="54"/>
        <v>2127.9030000000002</v>
      </c>
      <c r="BV68" s="39">
        <f t="shared" si="54"/>
        <v>2567.523</v>
      </c>
      <c r="BW68" s="39">
        <f t="shared" si="54"/>
        <v>2567.523</v>
      </c>
      <c r="BX68" s="39">
        <f t="shared" si="54"/>
        <v>0</v>
      </c>
      <c r="BY68" s="39">
        <f t="shared" si="54"/>
        <v>0</v>
      </c>
      <c r="BZ68" s="39">
        <f t="shared" si="54"/>
        <v>0</v>
      </c>
      <c r="CA68" s="39">
        <f t="shared" si="54"/>
        <v>0</v>
      </c>
      <c r="CB68" s="39">
        <f t="shared" si="54"/>
        <v>0</v>
      </c>
      <c r="CC68" s="39">
        <f t="shared" si="54"/>
        <v>0</v>
      </c>
      <c r="CD68" s="39">
        <f t="shared" si="54"/>
        <v>575.37</v>
      </c>
      <c r="CE68" s="39">
        <f t="shared" si="54"/>
        <v>575.37</v>
      </c>
      <c r="CF68" s="39">
        <f t="shared" si="54"/>
        <v>30453.954999999994</v>
      </c>
      <c r="CG68" s="39">
        <f t="shared" si="54"/>
        <v>30453.944999999996</v>
      </c>
      <c r="CH68" s="39">
        <f t="shared" si="54"/>
        <v>11592.881800000001</v>
      </c>
      <c r="CI68" s="39">
        <f t="shared" si="54"/>
        <v>11592.881800000001</v>
      </c>
      <c r="CJ68" s="39">
        <f t="shared" si="54"/>
        <v>3701.93577</v>
      </c>
      <c r="CK68" s="39">
        <f t="shared" si="54"/>
        <v>3701.93577</v>
      </c>
      <c r="CL68" s="39">
        <f t="shared" si="54"/>
        <v>0</v>
      </c>
      <c r="CM68" s="39">
        <f t="shared" si="54"/>
        <v>0</v>
      </c>
      <c r="CN68" s="39">
        <f t="shared" si="54"/>
        <v>0</v>
      </c>
      <c r="CO68" s="39">
        <f t="shared" si="54"/>
        <v>0</v>
      </c>
      <c r="CP68" s="39">
        <f t="shared" si="54"/>
        <v>2179.07</v>
      </c>
      <c r="CQ68" s="39">
        <f t="shared" si="54"/>
        <v>2179.07</v>
      </c>
      <c r="CR68" s="39">
        <f t="shared" si="54"/>
        <v>1289.9</v>
      </c>
      <c r="CS68" s="39">
        <f t="shared" si="54"/>
        <v>1289.9</v>
      </c>
      <c r="CT68" s="39">
        <f t="shared" si="54"/>
        <v>0</v>
      </c>
      <c r="CU68" s="39">
        <f t="shared" si="54"/>
        <v>0</v>
      </c>
      <c r="CV68" s="39">
        <f t="shared" si="54"/>
        <v>0</v>
      </c>
      <c r="CW68" s="39">
        <f t="shared" si="54"/>
        <v>0</v>
      </c>
      <c r="CX68" s="39">
        <f t="shared" si="54"/>
        <v>0</v>
      </c>
      <c r="CY68" s="39">
        <f t="shared" si="54"/>
        <v>0</v>
      </c>
      <c r="CZ68" s="39">
        <f t="shared" si="54"/>
        <v>0</v>
      </c>
      <c r="DA68" s="39">
        <f t="shared" si="54"/>
        <v>0</v>
      </c>
      <c r="DB68" s="39">
        <f t="shared" si="54"/>
        <v>0</v>
      </c>
      <c r="DC68" s="39">
        <f t="shared" si="54"/>
        <v>0</v>
      </c>
      <c r="DD68" s="39">
        <f t="shared" si="54"/>
        <v>0</v>
      </c>
      <c r="DE68" s="39">
        <f t="shared" si="54"/>
        <v>0</v>
      </c>
      <c r="DF68" s="39">
        <f t="shared" si="54"/>
        <v>18763.787570000004</v>
      </c>
      <c r="DG68" s="39">
        <f t="shared" si="54"/>
        <v>18763.787570000004</v>
      </c>
      <c r="DH68" s="39">
        <f t="shared" si="54"/>
        <v>240</v>
      </c>
      <c r="DI68" s="39">
        <f t="shared" si="54"/>
        <v>240</v>
      </c>
      <c r="DJ68" s="39">
        <f t="shared" si="54"/>
        <v>240</v>
      </c>
      <c r="DK68" s="39">
        <f t="shared" si="54"/>
        <v>240</v>
      </c>
      <c r="DL68" s="39">
        <f t="shared" si="54"/>
        <v>0</v>
      </c>
      <c r="DM68" s="39">
        <f t="shared" si="54"/>
        <v>0</v>
      </c>
      <c r="DN68" s="39">
        <f t="shared" si="54"/>
        <v>0</v>
      </c>
      <c r="DO68" s="39">
        <f t="shared" si="54"/>
        <v>0</v>
      </c>
      <c r="DP68" s="39">
        <f t="shared" si="54"/>
        <v>0</v>
      </c>
      <c r="DQ68" s="39">
        <f t="shared" si="54"/>
        <v>0</v>
      </c>
      <c r="DR68" s="39">
        <f t="shared" si="54"/>
        <v>0</v>
      </c>
      <c r="DS68" s="39">
        <f t="shared" si="54"/>
        <v>0</v>
      </c>
      <c r="DT68" s="39">
        <f t="shared" si="54"/>
        <v>0</v>
      </c>
      <c r="DU68" s="39">
        <f t="shared" si="54"/>
        <v>0</v>
      </c>
      <c r="DV68" s="39">
        <f t="shared" si="54"/>
        <v>0</v>
      </c>
      <c r="DW68" s="39">
        <f t="shared" si="54"/>
        <v>0</v>
      </c>
      <c r="DX68" s="39">
        <f t="shared" si="54"/>
        <v>0</v>
      </c>
      <c r="DY68" s="39">
        <f t="shared" si="54"/>
        <v>0</v>
      </c>
      <c r="DZ68" s="39">
        <f t="shared" si="54"/>
        <v>0</v>
      </c>
      <c r="EA68" s="39">
        <f aca="true" t="shared" si="55" ref="EA68:GL68">SUM(EA69:EA74)</f>
        <v>0</v>
      </c>
      <c r="EB68" s="39">
        <f t="shared" si="55"/>
        <v>180</v>
      </c>
      <c r="EC68" s="39">
        <f t="shared" si="55"/>
        <v>180</v>
      </c>
      <c r="ED68" s="39">
        <f t="shared" si="55"/>
        <v>195</v>
      </c>
      <c r="EE68" s="39">
        <f t="shared" si="55"/>
        <v>195</v>
      </c>
      <c r="EF68" s="39">
        <f t="shared" si="55"/>
        <v>6113</v>
      </c>
      <c r="EG68" s="39">
        <f t="shared" si="55"/>
        <v>6076.535</v>
      </c>
      <c r="EH68" s="39">
        <f t="shared" si="55"/>
        <v>8771</v>
      </c>
      <c r="EI68" s="39">
        <f t="shared" si="55"/>
        <v>8771</v>
      </c>
      <c r="EJ68" s="39">
        <f t="shared" si="55"/>
        <v>470</v>
      </c>
      <c r="EK68" s="39">
        <f t="shared" si="55"/>
        <v>416.1</v>
      </c>
      <c r="EL68" s="39">
        <f t="shared" si="55"/>
        <v>1356.3</v>
      </c>
      <c r="EM68" s="39">
        <f t="shared" si="55"/>
        <v>1356.3</v>
      </c>
      <c r="EN68" s="39">
        <f t="shared" si="55"/>
        <v>0</v>
      </c>
      <c r="EO68" s="39">
        <f t="shared" si="55"/>
        <v>0</v>
      </c>
      <c r="EP68" s="39">
        <f t="shared" si="55"/>
        <v>0</v>
      </c>
      <c r="EQ68" s="39">
        <f t="shared" si="55"/>
        <v>0</v>
      </c>
      <c r="ER68" s="39">
        <f t="shared" si="55"/>
        <v>0</v>
      </c>
      <c r="ES68" s="39">
        <f t="shared" si="55"/>
        <v>0</v>
      </c>
      <c r="ET68" s="39">
        <f t="shared" si="55"/>
        <v>0</v>
      </c>
      <c r="EU68" s="39">
        <f t="shared" si="55"/>
        <v>0</v>
      </c>
      <c r="EV68" s="39">
        <f t="shared" si="55"/>
        <v>26.8</v>
      </c>
      <c r="EW68" s="39">
        <f t="shared" si="55"/>
        <v>26.8</v>
      </c>
      <c r="EX68" s="39">
        <f t="shared" si="55"/>
        <v>100</v>
      </c>
      <c r="EY68" s="39">
        <f t="shared" si="55"/>
        <v>100</v>
      </c>
      <c r="EZ68" s="39">
        <f t="shared" si="55"/>
        <v>0</v>
      </c>
      <c r="FA68" s="39">
        <f t="shared" si="55"/>
        <v>0</v>
      </c>
      <c r="FB68" s="39">
        <f t="shared" si="55"/>
        <v>17212.1</v>
      </c>
      <c r="FC68" s="39">
        <f t="shared" si="55"/>
        <v>17121.735</v>
      </c>
      <c r="FD68" s="39">
        <f t="shared" si="55"/>
        <v>22.5</v>
      </c>
      <c r="FE68" s="39">
        <f t="shared" si="55"/>
        <v>22.5</v>
      </c>
      <c r="FF68" s="39">
        <f t="shared" si="55"/>
        <v>1.18</v>
      </c>
      <c r="FG68" s="39">
        <f t="shared" si="55"/>
        <v>1.18</v>
      </c>
      <c r="FH68" s="39">
        <f t="shared" si="55"/>
        <v>23.68</v>
      </c>
      <c r="FI68" s="39">
        <f t="shared" si="55"/>
        <v>23.68</v>
      </c>
      <c r="FJ68" s="39">
        <f t="shared" si="55"/>
        <v>380</v>
      </c>
      <c r="FK68" s="39">
        <f t="shared" si="55"/>
        <v>380</v>
      </c>
      <c r="FL68" s="39">
        <f t="shared" si="55"/>
        <v>0</v>
      </c>
      <c r="FM68" s="39">
        <f t="shared" si="55"/>
        <v>0</v>
      </c>
      <c r="FN68" s="39">
        <f t="shared" si="55"/>
        <v>1983.6</v>
      </c>
      <c r="FO68" s="39">
        <f t="shared" si="55"/>
        <v>1983.6</v>
      </c>
      <c r="FP68" s="39">
        <f t="shared" si="55"/>
        <v>0</v>
      </c>
      <c r="FQ68" s="39">
        <f t="shared" si="55"/>
        <v>0</v>
      </c>
      <c r="FR68" s="39">
        <f t="shared" si="55"/>
        <v>0</v>
      </c>
      <c r="FS68" s="39">
        <f t="shared" si="55"/>
        <v>0</v>
      </c>
      <c r="FT68" s="39">
        <f t="shared" si="55"/>
        <v>1790</v>
      </c>
      <c r="FU68" s="39">
        <f t="shared" si="55"/>
        <v>1790</v>
      </c>
      <c r="FV68" s="39">
        <f t="shared" si="55"/>
        <v>552</v>
      </c>
      <c r="FW68" s="39">
        <f t="shared" si="55"/>
        <v>552</v>
      </c>
      <c r="FX68" s="39">
        <f t="shared" si="55"/>
        <v>8769</v>
      </c>
      <c r="FY68" s="39">
        <f t="shared" si="55"/>
        <v>8769</v>
      </c>
      <c r="FZ68" s="39">
        <f t="shared" si="55"/>
        <v>5031</v>
      </c>
      <c r="GA68" s="39">
        <f t="shared" si="55"/>
        <v>5031</v>
      </c>
      <c r="GB68" s="39">
        <f t="shared" si="55"/>
        <v>0</v>
      </c>
      <c r="GC68" s="39">
        <f t="shared" si="55"/>
        <v>0</v>
      </c>
      <c r="GD68" s="39">
        <f t="shared" si="55"/>
        <v>10640</v>
      </c>
      <c r="GE68" s="39">
        <f t="shared" si="55"/>
        <v>10640</v>
      </c>
      <c r="GF68" s="39">
        <f t="shared" si="55"/>
        <v>1475.9</v>
      </c>
      <c r="GG68" s="39">
        <f t="shared" si="55"/>
        <v>1475.9</v>
      </c>
      <c r="GH68" s="39">
        <f t="shared" si="55"/>
        <v>631.9</v>
      </c>
      <c r="GI68" s="39">
        <f t="shared" si="55"/>
        <v>631.9</v>
      </c>
      <c r="GJ68" s="39">
        <f t="shared" si="55"/>
        <v>66780.3</v>
      </c>
      <c r="GK68" s="39">
        <f t="shared" si="55"/>
        <v>66780.3</v>
      </c>
      <c r="GL68" s="39">
        <f t="shared" si="55"/>
        <v>137546.5</v>
      </c>
      <c r="GM68" s="39">
        <f aca="true" t="shared" si="56" ref="GM68:HY68">SUM(GM69:GM74)</f>
        <v>137546.5</v>
      </c>
      <c r="GN68" s="39">
        <f t="shared" si="56"/>
        <v>0</v>
      </c>
      <c r="GO68" s="39">
        <f t="shared" si="56"/>
        <v>0</v>
      </c>
      <c r="GP68" s="39">
        <f t="shared" si="56"/>
        <v>8843.4</v>
      </c>
      <c r="GQ68" s="39">
        <f t="shared" si="56"/>
        <v>8843.4</v>
      </c>
      <c r="GR68" s="39">
        <f t="shared" si="56"/>
        <v>1156</v>
      </c>
      <c r="GS68" s="39">
        <f t="shared" si="56"/>
        <v>1156</v>
      </c>
      <c r="GT68" s="39">
        <f t="shared" si="56"/>
        <v>363</v>
      </c>
      <c r="GU68" s="39">
        <f t="shared" si="56"/>
        <v>363</v>
      </c>
      <c r="GV68" s="39">
        <f t="shared" si="56"/>
        <v>8707</v>
      </c>
      <c r="GW68" s="39">
        <f t="shared" si="56"/>
        <v>8707</v>
      </c>
      <c r="GX68" s="39">
        <f t="shared" si="56"/>
        <v>2147</v>
      </c>
      <c r="GY68" s="39">
        <f t="shared" si="56"/>
        <v>2147</v>
      </c>
      <c r="GZ68" s="39">
        <f t="shared" si="56"/>
        <v>50</v>
      </c>
      <c r="HA68" s="39">
        <f t="shared" si="56"/>
        <v>50</v>
      </c>
      <c r="HB68" s="39">
        <f t="shared" si="56"/>
        <v>144.2</v>
      </c>
      <c r="HC68" s="39">
        <f t="shared" si="56"/>
        <v>144.2</v>
      </c>
      <c r="HD68" s="39">
        <f t="shared" si="56"/>
        <v>256990.80000000002</v>
      </c>
      <c r="HE68" s="39">
        <f t="shared" si="56"/>
        <v>256990.80000000002</v>
      </c>
      <c r="HF68" s="39">
        <f t="shared" si="56"/>
        <v>0</v>
      </c>
      <c r="HG68" s="39">
        <f t="shared" si="56"/>
        <v>0</v>
      </c>
      <c r="HH68" s="39">
        <f t="shared" si="56"/>
        <v>0</v>
      </c>
      <c r="HI68" s="39">
        <f t="shared" si="56"/>
        <v>0</v>
      </c>
      <c r="HJ68" s="39">
        <f t="shared" si="56"/>
        <v>0</v>
      </c>
      <c r="HK68" s="39">
        <f t="shared" si="56"/>
        <v>0</v>
      </c>
      <c r="HL68" s="39">
        <f t="shared" si="56"/>
        <v>0</v>
      </c>
      <c r="HM68" s="39">
        <f t="shared" si="56"/>
        <v>0</v>
      </c>
      <c r="HN68" s="39">
        <f t="shared" si="56"/>
        <v>0</v>
      </c>
      <c r="HO68" s="39">
        <f t="shared" si="56"/>
        <v>0</v>
      </c>
      <c r="HP68" s="39">
        <f t="shared" si="56"/>
        <v>0</v>
      </c>
      <c r="HQ68" s="39">
        <f t="shared" si="56"/>
        <v>0</v>
      </c>
      <c r="HR68" s="39">
        <f t="shared" si="56"/>
        <v>0</v>
      </c>
      <c r="HS68" s="39">
        <f t="shared" si="56"/>
        <v>0</v>
      </c>
      <c r="HT68" s="39">
        <f t="shared" si="56"/>
        <v>365</v>
      </c>
      <c r="HU68" s="39">
        <f t="shared" si="56"/>
        <v>360</v>
      </c>
      <c r="HV68" s="39">
        <f t="shared" si="56"/>
        <v>3.536</v>
      </c>
      <c r="HW68" s="39">
        <f t="shared" si="56"/>
        <v>3.536</v>
      </c>
      <c r="HX68" s="39">
        <f t="shared" si="56"/>
        <v>368.536</v>
      </c>
      <c r="HY68" s="39">
        <f t="shared" si="56"/>
        <v>363.536</v>
      </c>
    </row>
    <row r="69" spans="1:233" ht="12.75">
      <c r="A69" s="12" t="s">
        <v>156</v>
      </c>
      <c r="B69" s="34"/>
      <c r="C69" s="34"/>
      <c r="D69" s="34"/>
      <c r="E69" s="34"/>
      <c r="F69" s="39">
        <f>960+640+800+480+800+740+740+740+740+740+740.7+740.7+740.6</f>
        <v>9602</v>
      </c>
      <c r="G69" s="39">
        <f>960+640+800+480+800+740+740+740+740+740+740.7+740.7+740.6</f>
        <v>9602</v>
      </c>
      <c r="H69" s="34"/>
      <c r="I69" s="34"/>
      <c r="J69" s="34"/>
      <c r="K69" s="34"/>
      <c r="L69" s="34"/>
      <c r="M69" s="34"/>
      <c r="N69" s="34"/>
      <c r="O69" s="34"/>
      <c r="P69" s="34"/>
      <c r="Q69" s="34"/>
      <c r="R69" s="39"/>
      <c r="S69" s="39"/>
      <c r="T69" s="39"/>
      <c r="U69" s="39"/>
      <c r="V69" s="39"/>
      <c r="W69" s="34"/>
      <c r="X69" s="34"/>
      <c r="Y69" s="34"/>
      <c r="Z69" s="34"/>
      <c r="AA69" s="34"/>
      <c r="AB69" s="34"/>
      <c r="AC69" s="34"/>
      <c r="AD69" s="34"/>
      <c r="AE69" s="34"/>
      <c r="AF69" s="39"/>
      <c r="AG69" s="48"/>
      <c r="AH69" s="126">
        <f t="shared" si="5"/>
        <v>9602</v>
      </c>
      <c r="AI69" s="126">
        <f t="shared" si="42"/>
        <v>9602</v>
      </c>
      <c r="AJ69" s="43">
        <v>361</v>
      </c>
      <c r="AK69" s="43">
        <v>361</v>
      </c>
      <c r="AL69" s="134"/>
      <c r="AM69" s="41"/>
      <c r="AN69" s="41"/>
      <c r="AO69" s="41"/>
      <c r="AP69" s="41"/>
      <c r="AQ69" s="41"/>
      <c r="AR69" s="39"/>
      <c r="AS69" s="39"/>
      <c r="AT69" s="43">
        <v>30</v>
      </c>
      <c r="AU69" s="43">
        <v>30</v>
      </c>
      <c r="AV69" s="43"/>
      <c r="AW69" s="43"/>
      <c r="AX69" s="43"/>
      <c r="AY69" s="43"/>
      <c r="AZ69" s="39">
        <f t="shared" si="7"/>
        <v>391</v>
      </c>
      <c r="BA69" s="39">
        <f t="shared" si="8"/>
        <v>391</v>
      </c>
      <c r="BB69" s="39">
        <v>2323</v>
      </c>
      <c r="BC69" s="39">
        <v>2323</v>
      </c>
      <c r="BD69" s="39"/>
      <c r="BE69" s="43"/>
      <c r="BF69" s="43"/>
      <c r="BG69" s="43"/>
      <c r="BH69" s="43"/>
      <c r="BI69" s="43"/>
      <c r="BJ69" s="43"/>
      <c r="BK69" s="43"/>
      <c r="BL69" s="43">
        <v>14835.8</v>
      </c>
      <c r="BM69" s="43">
        <v>14835.8</v>
      </c>
      <c r="BN69" s="43">
        <v>402.759</v>
      </c>
      <c r="BO69" s="43">
        <v>402.759</v>
      </c>
      <c r="BP69" s="43">
        <v>0</v>
      </c>
      <c r="BQ69" s="43">
        <v>0</v>
      </c>
      <c r="BR69" s="43"/>
      <c r="BS69" s="43"/>
      <c r="BT69" s="43">
        <v>1662.903</v>
      </c>
      <c r="BU69" s="43">
        <v>1662.903</v>
      </c>
      <c r="BV69" s="43">
        <v>2039.223</v>
      </c>
      <c r="BW69" s="43">
        <v>2039.223</v>
      </c>
      <c r="BX69" s="43"/>
      <c r="BY69" s="45"/>
      <c r="BZ69" s="43"/>
      <c r="CA69" s="45"/>
      <c r="CB69" s="45"/>
      <c r="CC69" s="45"/>
      <c r="CD69" s="43">
        <v>575.37</v>
      </c>
      <c r="CE69" s="43">
        <v>575.37</v>
      </c>
      <c r="CF69" s="39">
        <f t="shared" si="9"/>
        <v>19516.054999999997</v>
      </c>
      <c r="CG69" s="39">
        <f t="shared" si="43"/>
        <v>19516.054999999997</v>
      </c>
      <c r="CH69" s="39"/>
      <c r="CI69" s="39"/>
      <c r="CJ69" s="39"/>
      <c r="CK69" s="45"/>
      <c r="CL69" s="45"/>
      <c r="CM69" s="43"/>
      <c r="CN69" s="43"/>
      <c r="CO69" s="43"/>
      <c r="CP69" s="43"/>
      <c r="CQ69" s="39"/>
      <c r="CR69" s="43"/>
      <c r="CS69" s="45"/>
      <c r="CT69" s="45"/>
      <c r="CU69" s="45"/>
      <c r="CV69" s="45"/>
      <c r="CW69" s="43"/>
      <c r="CX69" s="43"/>
      <c r="CY69" s="43"/>
      <c r="CZ69" s="39"/>
      <c r="DA69" s="45"/>
      <c r="DB69" s="43"/>
      <c r="DC69" s="43"/>
      <c r="DD69" s="43"/>
      <c r="DE69" s="43"/>
      <c r="DF69" s="39">
        <f t="shared" si="11"/>
        <v>0</v>
      </c>
      <c r="DG69" s="39">
        <f t="shared" si="44"/>
        <v>0</v>
      </c>
      <c r="DH69" s="39">
        <v>240</v>
      </c>
      <c r="DI69" s="39">
        <v>240</v>
      </c>
      <c r="DJ69" s="39">
        <v>240</v>
      </c>
      <c r="DK69" s="39">
        <f t="shared" si="13"/>
        <v>240</v>
      </c>
      <c r="DL69" s="39"/>
      <c r="DM69" s="39"/>
      <c r="DN69" s="45"/>
      <c r="DO69" s="45"/>
      <c r="DP69" s="39">
        <f t="shared" si="14"/>
        <v>0</v>
      </c>
      <c r="DQ69" s="39">
        <f t="shared" si="15"/>
        <v>0</v>
      </c>
      <c r="DR69" s="39"/>
      <c r="DS69" s="39"/>
      <c r="DT69" s="43"/>
      <c r="DU69" s="43"/>
      <c r="DV69" s="43"/>
      <c r="DW69" s="43"/>
      <c r="DX69" s="43"/>
      <c r="DY69" s="43"/>
      <c r="DZ69" s="39"/>
      <c r="EA69" s="39"/>
      <c r="EB69" s="43">
        <v>180</v>
      </c>
      <c r="EC69" s="43">
        <v>180</v>
      </c>
      <c r="ED69" s="43">
        <v>195</v>
      </c>
      <c r="EE69" s="43">
        <v>195</v>
      </c>
      <c r="EF69" s="39">
        <v>1456</v>
      </c>
      <c r="EG69" s="43">
        <v>1419.535</v>
      </c>
      <c r="EH69" s="43">
        <v>4837</v>
      </c>
      <c r="EI69" s="39">
        <v>4837</v>
      </c>
      <c r="EJ69" s="39">
        <v>171</v>
      </c>
      <c r="EK69" s="43">
        <v>165.1</v>
      </c>
      <c r="EL69" s="43">
        <v>1356.3</v>
      </c>
      <c r="EM69" s="43">
        <v>1356.3</v>
      </c>
      <c r="EN69" s="45"/>
      <c r="EO69" s="45"/>
      <c r="EP69" s="43"/>
      <c r="EQ69" s="43"/>
      <c r="ER69" s="43"/>
      <c r="ES69" s="43"/>
      <c r="ET69" s="135"/>
      <c r="EU69" s="135"/>
      <c r="EV69" s="135">
        <v>26.8</v>
      </c>
      <c r="EW69" s="135">
        <v>26.8</v>
      </c>
      <c r="EX69" s="43"/>
      <c r="EY69" s="43"/>
      <c r="EZ69" s="43"/>
      <c r="FA69" s="43"/>
      <c r="FB69" s="37">
        <f t="shared" si="16"/>
        <v>8222.099999999999</v>
      </c>
      <c r="FC69" s="37">
        <f t="shared" si="45"/>
        <v>8179.735000000001</v>
      </c>
      <c r="FD69" s="39">
        <v>22.5</v>
      </c>
      <c r="FE69" s="39">
        <v>22.5</v>
      </c>
      <c r="FF69" s="43">
        <v>1.18</v>
      </c>
      <c r="FG69" s="43">
        <v>1.18</v>
      </c>
      <c r="FH69" s="132">
        <f t="shared" si="18"/>
        <v>23.68</v>
      </c>
      <c r="FI69" s="132">
        <f t="shared" si="19"/>
        <v>23.68</v>
      </c>
      <c r="FJ69" s="39">
        <v>380</v>
      </c>
      <c r="FK69" s="39">
        <v>380</v>
      </c>
      <c r="FL69" s="43"/>
      <c r="FM69" s="43"/>
      <c r="FN69" s="43">
        <v>1983.6</v>
      </c>
      <c r="FO69" s="43">
        <v>1983.6</v>
      </c>
      <c r="FP69" s="43"/>
      <c r="FQ69" s="43"/>
      <c r="FR69" s="39"/>
      <c r="FS69" s="135"/>
      <c r="FT69" s="43">
        <v>1790</v>
      </c>
      <c r="FU69" s="43">
        <v>1790</v>
      </c>
      <c r="FV69" s="43">
        <v>552</v>
      </c>
      <c r="FW69" s="43">
        <v>552</v>
      </c>
      <c r="FX69" s="43">
        <v>8769</v>
      </c>
      <c r="FY69" s="43">
        <v>8769</v>
      </c>
      <c r="FZ69" s="43">
        <v>5031</v>
      </c>
      <c r="GA69" s="43">
        <v>5031</v>
      </c>
      <c r="GB69" s="43"/>
      <c r="GC69" s="43"/>
      <c r="GD69" s="135">
        <v>10640</v>
      </c>
      <c r="GE69" s="135">
        <v>10640</v>
      </c>
      <c r="GF69" s="43">
        <v>1475.9</v>
      </c>
      <c r="GG69" s="43">
        <v>1475.9</v>
      </c>
      <c r="GH69" s="43">
        <v>631.9</v>
      </c>
      <c r="GI69" s="43">
        <v>631.9</v>
      </c>
      <c r="GJ69" s="43">
        <v>66780.3</v>
      </c>
      <c r="GK69" s="43">
        <v>66780.3</v>
      </c>
      <c r="GL69" s="43">
        <v>137546.5</v>
      </c>
      <c r="GM69" s="43">
        <v>137546.5</v>
      </c>
      <c r="GN69" s="43"/>
      <c r="GO69" s="43"/>
      <c r="GP69" s="43">
        <v>8843.4</v>
      </c>
      <c r="GQ69" s="43">
        <v>8843.4</v>
      </c>
      <c r="GR69" s="43">
        <v>1156</v>
      </c>
      <c r="GS69" s="43">
        <v>1156</v>
      </c>
      <c r="GT69" s="43">
        <v>363</v>
      </c>
      <c r="GU69" s="43">
        <v>363</v>
      </c>
      <c r="GV69" s="43">
        <v>8707</v>
      </c>
      <c r="GW69" s="43">
        <v>8707</v>
      </c>
      <c r="GX69" s="45">
        <v>2147</v>
      </c>
      <c r="GY69" s="45">
        <v>2147</v>
      </c>
      <c r="GZ69" s="43">
        <v>50</v>
      </c>
      <c r="HA69" s="43">
        <v>50</v>
      </c>
      <c r="HB69" s="43">
        <v>144.2</v>
      </c>
      <c r="HC69" s="43">
        <v>144.2</v>
      </c>
      <c r="HD69" s="39">
        <f t="shared" si="20"/>
        <v>256990.80000000002</v>
      </c>
      <c r="HE69" s="39">
        <f t="shared" si="46"/>
        <v>256990.80000000002</v>
      </c>
      <c r="HF69" s="39"/>
      <c r="HG69" s="39"/>
      <c r="HH69" s="39"/>
      <c r="HI69" s="43"/>
      <c r="HJ69" s="43"/>
      <c r="HK69" s="43"/>
      <c r="HL69" s="43"/>
      <c r="HM69" s="43"/>
      <c r="HN69" s="136"/>
      <c r="HO69" s="136"/>
      <c r="HP69" s="39">
        <f t="shared" si="22"/>
        <v>0</v>
      </c>
      <c r="HQ69" s="39">
        <f t="shared" si="47"/>
        <v>0</v>
      </c>
      <c r="HR69" s="39"/>
      <c r="HS69" s="39"/>
      <c r="HT69" s="39">
        <v>365</v>
      </c>
      <c r="HU69" s="43">
        <v>360</v>
      </c>
      <c r="HV69" s="39">
        <v>3.536</v>
      </c>
      <c r="HW69" s="39">
        <v>3.536</v>
      </c>
      <c r="HX69" s="39">
        <f t="shared" si="24"/>
        <v>368.536</v>
      </c>
      <c r="HY69" s="39">
        <f t="shared" si="48"/>
        <v>363.536</v>
      </c>
    </row>
    <row r="70" spans="1:233" ht="12.75" customHeight="1">
      <c r="A70" s="14" t="s">
        <v>211</v>
      </c>
      <c r="B70" s="34"/>
      <c r="C70" s="34"/>
      <c r="D70" s="39">
        <f>494+494+495+412+412+412+412+412+412+329.3+329.4+329.3</f>
        <v>4943</v>
      </c>
      <c r="E70" s="39">
        <f>494+494+495+412+412+412+412+412+412+329.3+329.4+329.3</f>
        <v>4943</v>
      </c>
      <c r="F70" s="34"/>
      <c r="G70" s="34"/>
      <c r="H70" s="34"/>
      <c r="I70" s="34"/>
      <c r="J70" s="34"/>
      <c r="K70" s="34"/>
      <c r="L70" s="34"/>
      <c r="M70" s="34"/>
      <c r="N70" s="34"/>
      <c r="O70" s="34"/>
      <c r="P70" s="34"/>
      <c r="Q70" s="34"/>
      <c r="R70" s="39">
        <v>1425</v>
      </c>
      <c r="S70" s="39">
        <f>1425</f>
        <v>1425</v>
      </c>
      <c r="T70" s="39">
        <v>10378.28508</v>
      </c>
      <c r="U70" s="39">
        <f>7000+554.75725+2823.52783</f>
        <v>10378.28508</v>
      </c>
      <c r="V70" s="39"/>
      <c r="W70" s="34"/>
      <c r="X70" s="34"/>
      <c r="Y70" s="34"/>
      <c r="Z70" s="34"/>
      <c r="AA70" s="34"/>
      <c r="AB70" s="34"/>
      <c r="AC70" s="34"/>
      <c r="AD70" s="34"/>
      <c r="AE70" s="34"/>
      <c r="AF70" s="39"/>
      <c r="AG70" s="48"/>
      <c r="AH70" s="126">
        <f t="shared" si="5"/>
        <v>16746.28508</v>
      </c>
      <c r="AI70" s="126">
        <f t="shared" si="42"/>
        <v>16746.28508</v>
      </c>
      <c r="AJ70" s="43"/>
      <c r="AK70" s="43"/>
      <c r="AL70" s="134"/>
      <c r="AM70" s="41"/>
      <c r="AN70" s="41"/>
      <c r="AO70" s="41"/>
      <c r="AP70" s="41"/>
      <c r="AQ70" s="41"/>
      <c r="AR70" s="39"/>
      <c r="AS70" s="39"/>
      <c r="AT70" s="43"/>
      <c r="AU70" s="43"/>
      <c r="AV70" s="43"/>
      <c r="AW70" s="43"/>
      <c r="AX70" s="43"/>
      <c r="AY70" s="43"/>
      <c r="AZ70" s="39">
        <f t="shared" si="7"/>
        <v>0</v>
      </c>
      <c r="BA70" s="39">
        <f t="shared" si="8"/>
        <v>0</v>
      </c>
      <c r="BB70" s="39">
        <v>0</v>
      </c>
      <c r="BC70" s="39">
        <v>0</v>
      </c>
      <c r="BD70" s="39"/>
      <c r="BE70" s="43"/>
      <c r="BF70" s="43"/>
      <c r="BG70" s="43"/>
      <c r="BH70" s="43"/>
      <c r="BI70" s="43"/>
      <c r="BJ70" s="43"/>
      <c r="BK70" s="43"/>
      <c r="BL70" s="43"/>
      <c r="BM70" s="43"/>
      <c r="BN70" s="45"/>
      <c r="BO70" s="45"/>
      <c r="BP70" s="45"/>
      <c r="BQ70" s="45"/>
      <c r="BR70" s="43"/>
      <c r="BS70" s="43"/>
      <c r="BT70" s="43">
        <v>465</v>
      </c>
      <c r="BU70" s="43">
        <v>465</v>
      </c>
      <c r="BV70" s="43">
        <v>528.3</v>
      </c>
      <c r="BW70" s="43">
        <v>528.3</v>
      </c>
      <c r="BX70" s="43"/>
      <c r="BY70" s="45"/>
      <c r="BZ70" s="43"/>
      <c r="CA70" s="45"/>
      <c r="CB70" s="45"/>
      <c r="CC70" s="45"/>
      <c r="CD70" s="45"/>
      <c r="CE70" s="45"/>
      <c r="CF70" s="39">
        <f t="shared" si="9"/>
        <v>993.3</v>
      </c>
      <c r="CG70" s="39">
        <f t="shared" si="43"/>
        <v>993.3</v>
      </c>
      <c r="CH70" s="39">
        <v>11592.881800000001</v>
      </c>
      <c r="CI70" s="39">
        <v>11592.881800000001</v>
      </c>
      <c r="CJ70" s="39">
        <v>3701.93577</v>
      </c>
      <c r="CK70" s="43">
        <v>3701.93577</v>
      </c>
      <c r="CL70" s="43"/>
      <c r="CM70" s="43"/>
      <c r="CN70" s="43"/>
      <c r="CO70" s="43"/>
      <c r="CP70" s="43">
        <v>2179.07</v>
      </c>
      <c r="CQ70" s="43">
        <v>2179.07</v>
      </c>
      <c r="CR70" s="43">
        <v>1289.9</v>
      </c>
      <c r="CS70" s="43">
        <v>1289.9</v>
      </c>
      <c r="CT70" s="43"/>
      <c r="CU70" s="45"/>
      <c r="CV70" s="45"/>
      <c r="CW70" s="43"/>
      <c r="CX70" s="43"/>
      <c r="CY70" s="43"/>
      <c r="CZ70" s="39"/>
      <c r="DA70" s="45"/>
      <c r="DB70" s="43"/>
      <c r="DC70" s="43"/>
      <c r="DD70" s="43"/>
      <c r="DE70" s="43"/>
      <c r="DF70" s="39">
        <f t="shared" si="11"/>
        <v>18763.787570000004</v>
      </c>
      <c r="DG70" s="39">
        <f t="shared" si="44"/>
        <v>18763.787570000004</v>
      </c>
      <c r="DH70" s="39"/>
      <c r="DI70" s="39"/>
      <c r="DJ70" s="39">
        <v>0</v>
      </c>
      <c r="DK70" s="39">
        <f t="shared" si="13"/>
        <v>0</v>
      </c>
      <c r="DL70" s="39"/>
      <c r="DM70" s="39"/>
      <c r="DN70" s="45"/>
      <c r="DO70" s="45"/>
      <c r="DP70" s="39">
        <f t="shared" si="14"/>
        <v>0</v>
      </c>
      <c r="DQ70" s="39">
        <f t="shared" si="15"/>
        <v>0</v>
      </c>
      <c r="DR70" s="39"/>
      <c r="DS70" s="39"/>
      <c r="DT70" s="43"/>
      <c r="DU70" s="43"/>
      <c r="DV70" s="43"/>
      <c r="DW70" s="43"/>
      <c r="DX70" s="43"/>
      <c r="DY70" s="43"/>
      <c r="DZ70" s="39"/>
      <c r="EA70" s="39"/>
      <c r="EB70" s="43"/>
      <c r="EC70" s="43"/>
      <c r="ED70" s="43"/>
      <c r="EE70" s="43"/>
      <c r="EF70" s="39"/>
      <c r="EG70" s="43"/>
      <c r="EH70" s="43">
        <v>220</v>
      </c>
      <c r="EI70" s="39">
        <v>220</v>
      </c>
      <c r="EJ70" s="39"/>
      <c r="EK70" s="43"/>
      <c r="EL70" s="43"/>
      <c r="EM70" s="43"/>
      <c r="EN70" s="45"/>
      <c r="EO70" s="45"/>
      <c r="EP70" s="43"/>
      <c r="EQ70" s="43"/>
      <c r="ER70" s="43"/>
      <c r="ES70" s="43"/>
      <c r="ET70" s="135"/>
      <c r="EU70" s="135"/>
      <c r="EV70" s="135"/>
      <c r="EW70" s="135"/>
      <c r="EX70" s="43"/>
      <c r="EY70" s="43"/>
      <c r="EZ70" s="43"/>
      <c r="FA70" s="43"/>
      <c r="FB70" s="37">
        <f t="shared" si="16"/>
        <v>220</v>
      </c>
      <c r="FC70" s="37">
        <f t="shared" si="45"/>
        <v>220</v>
      </c>
      <c r="FD70" s="39"/>
      <c r="FE70" s="39"/>
      <c r="FF70" s="43"/>
      <c r="FG70" s="43"/>
      <c r="FH70" s="132">
        <f t="shared" si="18"/>
        <v>0</v>
      </c>
      <c r="FI70" s="132">
        <f t="shared" si="19"/>
        <v>0</v>
      </c>
      <c r="FJ70" s="39"/>
      <c r="FK70" s="39"/>
      <c r="FL70" s="43"/>
      <c r="FM70" s="43"/>
      <c r="FN70" s="43"/>
      <c r="FO70" s="43"/>
      <c r="FP70" s="43"/>
      <c r="FQ70" s="43"/>
      <c r="FR70" s="39"/>
      <c r="FS70" s="135"/>
      <c r="FT70" s="43"/>
      <c r="FU70" s="43"/>
      <c r="FV70" s="43"/>
      <c r="FW70" s="43"/>
      <c r="FX70" s="43"/>
      <c r="FY70" s="43"/>
      <c r="FZ70" s="43"/>
      <c r="GA70" s="43"/>
      <c r="GB70" s="43"/>
      <c r="GC70" s="43"/>
      <c r="GD70" s="135"/>
      <c r="GE70" s="135"/>
      <c r="GF70" s="43"/>
      <c r="GG70" s="43"/>
      <c r="GH70" s="43"/>
      <c r="GI70" s="43"/>
      <c r="GJ70" s="43"/>
      <c r="GK70" s="43"/>
      <c r="GL70" s="43"/>
      <c r="GM70" s="43"/>
      <c r="GN70" s="43"/>
      <c r="GO70" s="43"/>
      <c r="GP70" s="43"/>
      <c r="GQ70" s="43"/>
      <c r="GR70" s="43"/>
      <c r="GS70" s="43"/>
      <c r="GT70" s="43"/>
      <c r="GU70" s="43"/>
      <c r="GV70" s="43"/>
      <c r="GW70" s="43"/>
      <c r="GX70" s="45"/>
      <c r="GY70" s="45"/>
      <c r="GZ70" s="43"/>
      <c r="HA70" s="43"/>
      <c r="HB70" s="43"/>
      <c r="HC70" s="43"/>
      <c r="HD70" s="39">
        <f t="shared" si="20"/>
        <v>0</v>
      </c>
      <c r="HE70" s="39">
        <f t="shared" si="46"/>
        <v>0</v>
      </c>
      <c r="HF70" s="39"/>
      <c r="HG70" s="39"/>
      <c r="HH70" s="39"/>
      <c r="HI70" s="43"/>
      <c r="HJ70" s="43"/>
      <c r="HK70" s="43"/>
      <c r="HL70" s="43"/>
      <c r="HM70" s="43"/>
      <c r="HN70" s="136"/>
      <c r="HO70" s="136"/>
      <c r="HP70" s="39">
        <f t="shared" si="22"/>
        <v>0</v>
      </c>
      <c r="HQ70" s="39">
        <f t="shared" si="47"/>
        <v>0</v>
      </c>
      <c r="HR70" s="39"/>
      <c r="HS70" s="39"/>
      <c r="HT70" s="39"/>
      <c r="HU70" s="43"/>
      <c r="HV70" s="39"/>
      <c r="HW70" s="39"/>
      <c r="HX70" s="39">
        <f t="shared" si="24"/>
        <v>0</v>
      </c>
      <c r="HY70" s="39">
        <f t="shared" si="48"/>
        <v>0</v>
      </c>
    </row>
    <row r="71" spans="1:233" ht="12.75">
      <c r="A71" s="14" t="s">
        <v>244</v>
      </c>
      <c r="B71" s="34"/>
      <c r="C71" s="34"/>
      <c r="D71" s="39">
        <f>169+169+168+141+141+140+141+141+140+112.7+112.7+112.6</f>
        <v>1688</v>
      </c>
      <c r="E71" s="39">
        <f>169+169+168+141+141+140+141+141+140+112.7+112.7+112.6</f>
        <v>1688</v>
      </c>
      <c r="F71" s="34"/>
      <c r="G71" s="34"/>
      <c r="H71" s="34"/>
      <c r="I71" s="34"/>
      <c r="J71" s="34"/>
      <c r="K71" s="34"/>
      <c r="L71" s="34"/>
      <c r="M71" s="34"/>
      <c r="N71" s="34"/>
      <c r="O71" s="34"/>
      <c r="P71" s="34"/>
      <c r="Q71" s="34"/>
      <c r="R71" s="39"/>
      <c r="S71" s="39"/>
      <c r="T71" s="39">
        <v>892.18</v>
      </c>
      <c r="U71" s="39">
        <f>474+418.18</f>
        <v>892.1800000000001</v>
      </c>
      <c r="V71" s="39"/>
      <c r="W71" s="34"/>
      <c r="X71" s="34"/>
      <c r="Y71" s="34"/>
      <c r="Z71" s="34"/>
      <c r="AA71" s="34"/>
      <c r="AB71" s="34"/>
      <c r="AC71" s="34"/>
      <c r="AD71" s="34"/>
      <c r="AE71" s="34"/>
      <c r="AF71" s="39">
        <v>147</v>
      </c>
      <c r="AG71" s="39">
        <f>12.3+12.3+12.3+12.3+12.3+6+24.7+17.4+12.6+13+11.8</f>
        <v>147</v>
      </c>
      <c r="AH71" s="126">
        <f>B71+D71+F71+H71+J71+L71+N71+P71+R71+T71+V71+X71+Z71+AB71+AD71+AF71</f>
        <v>2727.18</v>
      </c>
      <c r="AI71" s="126">
        <f t="shared" si="42"/>
        <v>2727.1800000000003</v>
      </c>
      <c r="AJ71" s="43"/>
      <c r="AK71" s="43"/>
      <c r="AL71" s="134"/>
      <c r="AM71" s="41"/>
      <c r="AN71" s="41"/>
      <c r="AO71" s="41"/>
      <c r="AP71" s="41"/>
      <c r="AQ71" s="41"/>
      <c r="AR71" s="39"/>
      <c r="AS71" s="39"/>
      <c r="AT71" s="43"/>
      <c r="AU71" s="43"/>
      <c r="AV71" s="43"/>
      <c r="AW71" s="43"/>
      <c r="AX71" s="43"/>
      <c r="AY71" s="43"/>
      <c r="AZ71" s="39">
        <f t="shared" si="7"/>
        <v>0</v>
      </c>
      <c r="BA71" s="39">
        <f t="shared" si="8"/>
        <v>0</v>
      </c>
      <c r="BB71" s="39">
        <v>0</v>
      </c>
      <c r="BC71" s="39">
        <v>0</v>
      </c>
      <c r="BD71" s="39">
        <v>44.6</v>
      </c>
      <c r="BE71" s="43">
        <v>44.59</v>
      </c>
      <c r="BF71" s="43"/>
      <c r="BG71" s="43"/>
      <c r="BH71" s="43"/>
      <c r="BI71" s="43"/>
      <c r="BJ71" s="43"/>
      <c r="BK71" s="43"/>
      <c r="BL71" s="43"/>
      <c r="BM71" s="43"/>
      <c r="BN71" s="45"/>
      <c r="BO71" s="45"/>
      <c r="BP71" s="45"/>
      <c r="BQ71" s="45"/>
      <c r="BR71" s="43"/>
      <c r="BS71" s="43"/>
      <c r="BT71" s="43"/>
      <c r="BU71" s="43"/>
      <c r="BV71" s="45"/>
      <c r="BW71" s="45"/>
      <c r="BX71" s="43"/>
      <c r="BY71" s="45"/>
      <c r="BZ71" s="43"/>
      <c r="CA71" s="45"/>
      <c r="CB71" s="45"/>
      <c r="CC71" s="45"/>
      <c r="CD71" s="45"/>
      <c r="CE71" s="45"/>
      <c r="CF71" s="39">
        <f t="shared" si="9"/>
        <v>44.6</v>
      </c>
      <c r="CG71" s="39">
        <f t="shared" si="43"/>
        <v>44.59</v>
      </c>
      <c r="CH71" s="39"/>
      <c r="CI71" s="39"/>
      <c r="CJ71" s="39"/>
      <c r="CK71" s="45"/>
      <c r="CL71" s="45"/>
      <c r="CM71" s="43"/>
      <c r="CN71" s="43"/>
      <c r="CO71" s="43"/>
      <c r="CP71" s="43"/>
      <c r="CQ71" s="39"/>
      <c r="CR71" s="43"/>
      <c r="CS71" s="45"/>
      <c r="CT71" s="45"/>
      <c r="CU71" s="45"/>
      <c r="CV71" s="45"/>
      <c r="CW71" s="43"/>
      <c r="CX71" s="43"/>
      <c r="CY71" s="43"/>
      <c r="CZ71" s="39"/>
      <c r="DA71" s="45"/>
      <c r="DB71" s="43"/>
      <c r="DC71" s="43"/>
      <c r="DD71" s="43"/>
      <c r="DE71" s="43"/>
      <c r="DF71" s="39">
        <f t="shared" si="11"/>
        <v>0</v>
      </c>
      <c r="DG71" s="39">
        <f t="shared" si="44"/>
        <v>0</v>
      </c>
      <c r="DH71" s="39"/>
      <c r="DI71" s="39"/>
      <c r="DJ71" s="39">
        <v>0</v>
      </c>
      <c r="DK71" s="39">
        <f t="shared" si="13"/>
        <v>0</v>
      </c>
      <c r="DL71" s="39"/>
      <c r="DM71" s="39"/>
      <c r="DN71" s="45"/>
      <c r="DO71" s="45"/>
      <c r="DP71" s="39">
        <f t="shared" si="14"/>
        <v>0</v>
      </c>
      <c r="DQ71" s="39">
        <f t="shared" si="15"/>
        <v>0</v>
      </c>
      <c r="DR71" s="39"/>
      <c r="DS71" s="39"/>
      <c r="DT71" s="43"/>
      <c r="DU71" s="43"/>
      <c r="DV71" s="43"/>
      <c r="DW71" s="43"/>
      <c r="DX71" s="43"/>
      <c r="DY71" s="43"/>
      <c r="DZ71" s="39"/>
      <c r="EA71" s="39"/>
      <c r="EB71" s="43"/>
      <c r="EC71" s="43"/>
      <c r="ED71" s="43"/>
      <c r="EE71" s="43"/>
      <c r="EF71" s="39"/>
      <c r="EG71" s="43"/>
      <c r="EH71" s="43">
        <v>2195</v>
      </c>
      <c r="EI71" s="39">
        <v>2195</v>
      </c>
      <c r="EJ71" s="39">
        <v>69</v>
      </c>
      <c r="EK71" s="43">
        <v>69</v>
      </c>
      <c r="EL71" s="43"/>
      <c r="EM71" s="43"/>
      <c r="EN71" s="45"/>
      <c r="EO71" s="45"/>
      <c r="EP71" s="43"/>
      <c r="EQ71" s="43"/>
      <c r="ER71" s="43"/>
      <c r="ES71" s="43"/>
      <c r="ET71" s="135"/>
      <c r="EU71" s="135"/>
      <c r="EV71" s="135"/>
      <c r="EW71" s="135"/>
      <c r="EX71" s="43"/>
      <c r="EY71" s="43"/>
      <c r="EZ71" s="43"/>
      <c r="FA71" s="43"/>
      <c r="FB71" s="37">
        <f t="shared" si="16"/>
        <v>2264</v>
      </c>
      <c r="FC71" s="37">
        <f t="shared" si="45"/>
        <v>2264</v>
      </c>
      <c r="FD71" s="39"/>
      <c r="FE71" s="39"/>
      <c r="FF71" s="43"/>
      <c r="FG71" s="43"/>
      <c r="FH71" s="132">
        <f t="shared" si="18"/>
        <v>0</v>
      </c>
      <c r="FI71" s="132">
        <f t="shared" si="19"/>
        <v>0</v>
      </c>
      <c r="FJ71" s="39"/>
      <c r="FK71" s="39"/>
      <c r="FL71" s="43"/>
      <c r="FM71" s="43"/>
      <c r="FN71" s="43"/>
      <c r="FO71" s="43"/>
      <c r="FP71" s="43"/>
      <c r="FQ71" s="43"/>
      <c r="FR71" s="39"/>
      <c r="FS71" s="135"/>
      <c r="FT71" s="43"/>
      <c r="FU71" s="43"/>
      <c r="FV71" s="43"/>
      <c r="FW71" s="43"/>
      <c r="FX71" s="43"/>
      <c r="FY71" s="43"/>
      <c r="FZ71" s="43"/>
      <c r="GA71" s="43"/>
      <c r="GB71" s="43"/>
      <c r="GC71" s="43"/>
      <c r="GD71" s="135"/>
      <c r="GE71" s="135"/>
      <c r="GF71" s="43"/>
      <c r="GG71" s="43"/>
      <c r="GH71" s="43"/>
      <c r="GI71" s="43"/>
      <c r="GJ71" s="43"/>
      <c r="GK71" s="43"/>
      <c r="GL71" s="43"/>
      <c r="GM71" s="43"/>
      <c r="GN71" s="43"/>
      <c r="GO71" s="43"/>
      <c r="GP71" s="43"/>
      <c r="GQ71" s="43"/>
      <c r="GR71" s="43"/>
      <c r="GS71" s="43"/>
      <c r="GT71" s="43"/>
      <c r="GU71" s="43"/>
      <c r="GV71" s="43"/>
      <c r="GW71" s="43"/>
      <c r="GX71" s="45"/>
      <c r="GY71" s="45"/>
      <c r="GZ71" s="43"/>
      <c r="HA71" s="43"/>
      <c r="HB71" s="43"/>
      <c r="HC71" s="43"/>
      <c r="HD71" s="39">
        <f t="shared" si="20"/>
        <v>0</v>
      </c>
      <c r="HE71" s="39">
        <f t="shared" si="46"/>
        <v>0</v>
      </c>
      <c r="HF71" s="39"/>
      <c r="HG71" s="39"/>
      <c r="HH71" s="39"/>
      <c r="HI71" s="43"/>
      <c r="HJ71" s="43"/>
      <c r="HK71" s="43"/>
      <c r="HL71" s="43"/>
      <c r="HM71" s="43"/>
      <c r="HN71" s="136"/>
      <c r="HO71" s="136"/>
      <c r="HP71" s="39">
        <f t="shared" si="22"/>
        <v>0</v>
      </c>
      <c r="HQ71" s="39">
        <f t="shared" si="47"/>
        <v>0</v>
      </c>
      <c r="HR71" s="39"/>
      <c r="HS71" s="39"/>
      <c r="HT71" s="39"/>
      <c r="HU71" s="43"/>
      <c r="HV71" s="39"/>
      <c r="HW71" s="39"/>
      <c r="HX71" s="39">
        <f t="shared" si="24"/>
        <v>0</v>
      </c>
      <c r="HY71" s="39">
        <f t="shared" si="48"/>
        <v>0</v>
      </c>
    </row>
    <row r="72" spans="1:233" ht="12.75" customHeight="1">
      <c r="A72" s="14" t="s">
        <v>245</v>
      </c>
      <c r="B72" s="34"/>
      <c r="C72" s="34"/>
      <c r="D72" s="39">
        <f>391+391+392+326+326+326+326+326+326+261+261+261</f>
        <v>3913</v>
      </c>
      <c r="E72" s="39">
        <f>391+391+392+326+326+326+326+326+326+261+261+261</f>
        <v>3913</v>
      </c>
      <c r="F72" s="34"/>
      <c r="G72" s="34"/>
      <c r="H72" s="34"/>
      <c r="I72" s="34"/>
      <c r="J72" s="34"/>
      <c r="K72" s="34"/>
      <c r="L72" s="34"/>
      <c r="M72" s="34"/>
      <c r="N72" s="34"/>
      <c r="O72" s="34"/>
      <c r="P72" s="34"/>
      <c r="Q72" s="34"/>
      <c r="R72" s="39">
        <v>40</v>
      </c>
      <c r="S72" s="39">
        <v>40</v>
      </c>
      <c r="T72" s="39">
        <v>24.63955</v>
      </c>
      <c r="U72" s="39">
        <v>24.63955</v>
      </c>
      <c r="V72" s="39"/>
      <c r="W72" s="34"/>
      <c r="X72" s="34"/>
      <c r="Y72" s="34"/>
      <c r="Z72" s="34"/>
      <c r="AA72" s="34"/>
      <c r="AB72" s="34"/>
      <c r="AC72" s="34"/>
      <c r="AD72" s="34"/>
      <c r="AE72" s="34"/>
      <c r="AF72" s="39">
        <v>147</v>
      </c>
      <c r="AG72" s="39">
        <f>12.3+12.3+12.3+12.3+12.3+12+23+5.5+10.1+11+23.9</f>
        <v>147</v>
      </c>
      <c r="AH72" s="126">
        <f t="shared" si="5"/>
        <v>4124.63955</v>
      </c>
      <c r="AI72" s="126">
        <f t="shared" si="42"/>
        <v>4124.63955</v>
      </c>
      <c r="AJ72" s="43"/>
      <c r="AK72" s="43"/>
      <c r="AL72" s="134"/>
      <c r="AM72" s="41"/>
      <c r="AN72" s="41"/>
      <c r="AO72" s="41"/>
      <c r="AP72" s="41"/>
      <c r="AQ72" s="41"/>
      <c r="AR72" s="39"/>
      <c r="AS72" s="39"/>
      <c r="AT72" s="43"/>
      <c r="AU72" s="43"/>
      <c r="AV72" s="43"/>
      <c r="AW72" s="43"/>
      <c r="AX72" s="43"/>
      <c r="AY72" s="43"/>
      <c r="AZ72" s="39">
        <f t="shared" si="7"/>
        <v>0</v>
      </c>
      <c r="BA72" s="39">
        <f t="shared" si="8"/>
        <v>0</v>
      </c>
      <c r="BB72" s="39">
        <v>0</v>
      </c>
      <c r="BC72" s="39">
        <v>0</v>
      </c>
      <c r="BD72" s="39"/>
      <c r="BE72" s="43"/>
      <c r="BF72" s="43"/>
      <c r="BG72" s="43"/>
      <c r="BH72" s="43"/>
      <c r="BI72" s="43"/>
      <c r="BJ72" s="43"/>
      <c r="BK72" s="43"/>
      <c r="BL72" s="43"/>
      <c r="BM72" s="43"/>
      <c r="BN72" s="45"/>
      <c r="BO72" s="45"/>
      <c r="BP72" s="45"/>
      <c r="BQ72" s="45"/>
      <c r="BR72" s="43"/>
      <c r="BS72" s="43"/>
      <c r="BT72" s="43"/>
      <c r="BU72" s="43"/>
      <c r="BV72" s="45"/>
      <c r="BW72" s="45"/>
      <c r="BX72" s="43"/>
      <c r="BY72" s="45"/>
      <c r="BZ72" s="43"/>
      <c r="CA72" s="45"/>
      <c r="CB72" s="45"/>
      <c r="CC72" s="45"/>
      <c r="CD72" s="45"/>
      <c r="CE72" s="45"/>
      <c r="CF72" s="39">
        <f t="shared" si="9"/>
        <v>0</v>
      </c>
      <c r="CG72" s="39">
        <f t="shared" si="43"/>
        <v>0</v>
      </c>
      <c r="CH72" s="39"/>
      <c r="CI72" s="39"/>
      <c r="CJ72" s="39"/>
      <c r="CK72" s="45"/>
      <c r="CL72" s="45"/>
      <c r="CM72" s="43"/>
      <c r="CN72" s="43"/>
      <c r="CO72" s="43"/>
      <c r="CP72" s="43"/>
      <c r="CQ72" s="39"/>
      <c r="CR72" s="43"/>
      <c r="CS72" s="45"/>
      <c r="CT72" s="45"/>
      <c r="CU72" s="45"/>
      <c r="CV72" s="45"/>
      <c r="CW72" s="43"/>
      <c r="CX72" s="43"/>
      <c r="CY72" s="43"/>
      <c r="CZ72" s="39"/>
      <c r="DA72" s="45"/>
      <c r="DB72" s="43"/>
      <c r="DC72" s="43"/>
      <c r="DD72" s="43"/>
      <c r="DE72" s="43"/>
      <c r="DF72" s="39">
        <f t="shared" si="11"/>
        <v>0</v>
      </c>
      <c r="DG72" s="39">
        <f t="shared" si="44"/>
        <v>0</v>
      </c>
      <c r="DH72" s="39"/>
      <c r="DI72" s="39"/>
      <c r="DJ72" s="39">
        <v>0</v>
      </c>
      <c r="DK72" s="39">
        <f t="shared" si="13"/>
        <v>0</v>
      </c>
      <c r="DL72" s="39"/>
      <c r="DM72" s="39"/>
      <c r="DN72" s="45"/>
      <c r="DO72" s="45"/>
      <c r="DP72" s="39">
        <f t="shared" si="14"/>
        <v>0</v>
      </c>
      <c r="DQ72" s="39">
        <f t="shared" si="15"/>
        <v>0</v>
      </c>
      <c r="DR72" s="39"/>
      <c r="DS72" s="39"/>
      <c r="DT72" s="43"/>
      <c r="DU72" s="43"/>
      <c r="DV72" s="43"/>
      <c r="DW72" s="43"/>
      <c r="DX72" s="43"/>
      <c r="DY72" s="43"/>
      <c r="DZ72" s="39"/>
      <c r="EA72" s="39"/>
      <c r="EB72" s="43"/>
      <c r="EC72" s="43"/>
      <c r="ED72" s="43"/>
      <c r="EE72" s="43"/>
      <c r="EF72" s="39">
        <v>4657</v>
      </c>
      <c r="EG72" s="43">
        <v>4657</v>
      </c>
      <c r="EH72" s="43">
        <v>105</v>
      </c>
      <c r="EI72" s="39">
        <v>105</v>
      </c>
      <c r="EJ72" s="39">
        <v>67</v>
      </c>
      <c r="EK72" s="43">
        <v>53</v>
      </c>
      <c r="EL72" s="43"/>
      <c r="EM72" s="43"/>
      <c r="EN72" s="45"/>
      <c r="EO72" s="45"/>
      <c r="EP72" s="43"/>
      <c r="EQ72" s="43"/>
      <c r="ER72" s="43"/>
      <c r="ES72" s="43"/>
      <c r="ET72" s="135"/>
      <c r="EU72" s="135"/>
      <c r="EV72" s="135"/>
      <c r="EW72" s="135"/>
      <c r="EX72" s="43"/>
      <c r="EY72" s="43"/>
      <c r="EZ72" s="43"/>
      <c r="FA72" s="43"/>
      <c r="FB72" s="37">
        <f t="shared" si="16"/>
        <v>4829</v>
      </c>
      <c r="FC72" s="37">
        <f t="shared" si="45"/>
        <v>4815</v>
      </c>
      <c r="FD72" s="39"/>
      <c r="FE72" s="39"/>
      <c r="FF72" s="43"/>
      <c r="FG72" s="43"/>
      <c r="FH72" s="132">
        <f t="shared" si="18"/>
        <v>0</v>
      </c>
      <c r="FI72" s="132">
        <f t="shared" si="19"/>
        <v>0</v>
      </c>
      <c r="FJ72" s="39"/>
      <c r="FK72" s="39"/>
      <c r="FL72" s="43"/>
      <c r="FM72" s="43"/>
      <c r="FN72" s="43"/>
      <c r="FO72" s="43"/>
      <c r="FP72" s="43"/>
      <c r="FQ72" s="43"/>
      <c r="FR72" s="39"/>
      <c r="FS72" s="135"/>
      <c r="FT72" s="43"/>
      <c r="FU72" s="43"/>
      <c r="FV72" s="43"/>
      <c r="FW72" s="43"/>
      <c r="FX72" s="43"/>
      <c r="FY72" s="43"/>
      <c r="FZ72" s="43"/>
      <c r="GA72" s="43"/>
      <c r="GB72" s="43"/>
      <c r="GC72" s="43"/>
      <c r="GD72" s="135"/>
      <c r="GE72" s="135"/>
      <c r="GF72" s="43"/>
      <c r="GG72" s="43"/>
      <c r="GH72" s="43"/>
      <c r="GI72" s="43"/>
      <c r="GJ72" s="43"/>
      <c r="GK72" s="43"/>
      <c r="GL72" s="43"/>
      <c r="GM72" s="43"/>
      <c r="GN72" s="43"/>
      <c r="GO72" s="43"/>
      <c r="GP72" s="43"/>
      <c r="GQ72" s="43"/>
      <c r="GR72" s="43"/>
      <c r="GS72" s="43"/>
      <c r="GT72" s="43"/>
      <c r="GU72" s="43"/>
      <c r="GV72" s="43"/>
      <c r="GW72" s="43"/>
      <c r="GX72" s="45"/>
      <c r="GY72" s="45"/>
      <c r="GZ72" s="43"/>
      <c r="HA72" s="43"/>
      <c r="HB72" s="43"/>
      <c r="HC72" s="43"/>
      <c r="HD72" s="39">
        <f t="shared" si="20"/>
        <v>0</v>
      </c>
      <c r="HE72" s="39">
        <f t="shared" si="46"/>
        <v>0</v>
      </c>
      <c r="HF72" s="39"/>
      <c r="HG72" s="39"/>
      <c r="HH72" s="39"/>
      <c r="HI72" s="43"/>
      <c r="HJ72" s="43"/>
      <c r="HK72" s="43"/>
      <c r="HL72" s="43"/>
      <c r="HM72" s="43"/>
      <c r="HN72" s="136"/>
      <c r="HO72" s="136"/>
      <c r="HP72" s="39">
        <f t="shared" si="22"/>
        <v>0</v>
      </c>
      <c r="HQ72" s="39">
        <f t="shared" si="47"/>
        <v>0</v>
      </c>
      <c r="HR72" s="39"/>
      <c r="HS72" s="39"/>
      <c r="HT72" s="39"/>
      <c r="HU72" s="43"/>
      <c r="HV72" s="39"/>
      <c r="HW72" s="39"/>
      <c r="HX72" s="39">
        <f t="shared" si="24"/>
        <v>0</v>
      </c>
      <c r="HY72" s="39">
        <f t="shared" si="48"/>
        <v>0</v>
      </c>
    </row>
    <row r="73" spans="1:233" ht="12.75">
      <c r="A73" s="14" t="s">
        <v>246</v>
      </c>
      <c r="B73" s="34"/>
      <c r="C73" s="34"/>
      <c r="D73" s="39">
        <f>175+175+176+146+146+146+146+146+146+117+117+117</f>
        <v>1753</v>
      </c>
      <c r="E73" s="39">
        <f>175+175+176+146+146+146+146+146+146+117+117+117</f>
        <v>1753</v>
      </c>
      <c r="F73" s="34"/>
      <c r="G73" s="34"/>
      <c r="H73" s="34"/>
      <c r="I73" s="34"/>
      <c r="J73" s="34"/>
      <c r="K73" s="34"/>
      <c r="L73" s="34"/>
      <c r="M73" s="34"/>
      <c r="N73" s="34"/>
      <c r="O73" s="34"/>
      <c r="P73" s="34"/>
      <c r="Q73" s="34"/>
      <c r="R73" s="39"/>
      <c r="S73" s="39"/>
      <c r="T73" s="39"/>
      <c r="U73" s="39"/>
      <c r="V73" s="39"/>
      <c r="W73" s="34"/>
      <c r="X73" s="34"/>
      <c r="Y73" s="34"/>
      <c r="Z73" s="34"/>
      <c r="AA73" s="34"/>
      <c r="AB73" s="34"/>
      <c r="AC73" s="34"/>
      <c r="AD73" s="34"/>
      <c r="AE73" s="34"/>
      <c r="AF73" s="39">
        <v>147</v>
      </c>
      <c r="AG73" s="39">
        <f>12.3+12.3+12.3+12.3+12.3+13.1+18.2+13+13+13+15.2</f>
        <v>147</v>
      </c>
      <c r="AH73" s="126">
        <f t="shared" si="5"/>
        <v>1900</v>
      </c>
      <c r="AI73" s="126">
        <f t="shared" si="42"/>
        <v>1900</v>
      </c>
      <c r="AJ73" s="43"/>
      <c r="AK73" s="43"/>
      <c r="AL73" s="134"/>
      <c r="AM73" s="41"/>
      <c r="AN73" s="41"/>
      <c r="AO73" s="41"/>
      <c r="AP73" s="41"/>
      <c r="AQ73" s="41"/>
      <c r="AR73" s="39"/>
      <c r="AS73" s="39"/>
      <c r="AT73" s="43"/>
      <c r="AU73" s="43"/>
      <c r="AV73" s="43"/>
      <c r="AW73" s="43"/>
      <c r="AX73" s="43"/>
      <c r="AY73" s="43"/>
      <c r="AZ73" s="39">
        <f t="shared" si="7"/>
        <v>0</v>
      </c>
      <c r="BA73" s="39">
        <f t="shared" si="8"/>
        <v>0</v>
      </c>
      <c r="BB73" s="39">
        <v>0</v>
      </c>
      <c r="BC73" s="39">
        <v>0</v>
      </c>
      <c r="BD73" s="39"/>
      <c r="BE73" s="43"/>
      <c r="BF73" s="43"/>
      <c r="BG73" s="43"/>
      <c r="BH73" s="43">
        <v>9900</v>
      </c>
      <c r="BI73" s="43">
        <v>9900</v>
      </c>
      <c r="BJ73" s="43"/>
      <c r="BK73" s="43"/>
      <c r="BL73" s="43"/>
      <c r="BM73" s="43"/>
      <c r="BN73" s="45"/>
      <c r="BO73" s="45"/>
      <c r="BP73" s="45"/>
      <c r="BQ73" s="45"/>
      <c r="BR73" s="43"/>
      <c r="BS73" s="43"/>
      <c r="BT73" s="43"/>
      <c r="BU73" s="43"/>
      <c r="BV73" s="45"/>
      <c r="BW73" s="45"/>
      <c r="BX73" s="43"/>
      <c r="BY73" s="45"/>
      <c r="BZ73" s="43"/>
      <c r="CA73" s="45"/>
      <c r="CB73" s="45"/>
      <c r="CC73" s="45"/>
      <c r="CD73" s="45"/>
      <c r="CE73" s="45"/>
      <c r="CF73" s="39">
        <f t="shared" si="9"/>
        <v>9900</v>
      </c>
      <c r="CG73" s="39">
        <f t="shared" si="43"/>
        <v>9900</v>
      </c>
      <c r="CH73" s="39"/>
      <c r="CI73" s="39"/>
      <c r="CJ73" s="39"/>
      <c r="CK73" s="45"/>
      <c r="CL73" s="45"/>
      <c r="CM73" s="43"/>
      <c r="CN73" s="43"/>
      <c r="CO73" s="43"/>
      <c r="CP73" s="43"/>
      <c r="CQ73" s="39"/>
      <c r="CR73" s="43"/>
      <c r="CS73" s="45"/>
      <c r="CT73" s="45"/>
      <c r="CU73" s="45"/>
      <c r="CV73" s="45"/>
      <c r="CW73" s="43"/>
      <c r="CX73" s="43"/>
      <c r="CY73" s="43"/>
      <c r="CZ73" s="39"/>
      <c r="DA73" s="45"/>
      <c r="DB73" s="43"/>
      <c r="DC73" s="43"/>
      <c r="DD73" s="43"/>
      <c r="DE73" s="43"/>
      <c r="DF73" s="39">
        <f t="shared" si="11"/>
        <v>0</v>
      </c>
      <c r="DG73" s="39">
        <f t="shared" si="44"/>
        <v>0</v>
      </c>
      <c r="DH73" s="39"/>
      <c r="DI73" s="39"/>
      <c r="DJ73" s="39">
        <v>0</v>
      </c>
      <c r="DK73" s="39">
        <f t="shared" si="13"/>
        <v>0</v>
      </c>
      <c r="DL73" s="39"/>
      <c r="DM73" s="39"/>
      <c r="DN73" s="45"/>
      <c r="DO73" s="45"/>
      <c r="DP73" s="39">
        <f t="shared" si="14"/>
        <v>0</v>
      </c>
      <c r="DQ73" s="39">
        <f t="shared" si="15"/>
        <v>0</v>
      </c>
      <c r="DR73" s="39"/>
      <c r="DS73" s="39"/>
      <c r="DT73" s="43"/>
      <c r="DU73" s="43"/>
      <c r="DV73" s="43"/>
      <c r="DW73" s="43"/>
      <c r="DX73" s="43"/>
      <c r="DY73" s="43"/>
      <c r="DZ73" s="39"/>
      <c r="EA73" s="39"/>
      <c r="EB73" s="43"/>
      <c r="EC73" s="43"/>
      <c r="ED73" s="43"/>
      <c r="EE73" s="43"/>
      <c r="EF73" s="39"/>
      <c r="EG73" s="43"/>
      <c r="EH73" s="43">
        <v>1137</v>
      </c>
      <c r="EI73" s="39">
        <v>1137</v>
      </c>
      <c r="EJ73" s="39">
        <v>103</v>
      </c>
      <c r="EK73" s="43">
        <v>103</v>
      </c>
      <c r="EL73" s="43"/>
      <c r="EM73" s="43"/>
      <c r="EN73" s="45"/>
      <c r="EO73" s="45"/>
      <c r="EP73" s="43"/>
      <c r="EQ73" s="43"/>
      <c r="ER73" s="43"/>
      <c r="ES73" s="43"/>
      <c r="ET73" s="135"/>
      <c r="EU73" s="135"/>
      <c r="EV73" s="135"/>
      <c r="EW73" s="135"/>
      <c r="EX73" s="43">
        <v>100</v>
      </c>
      <c r="EY73" s="43">
        <v>100</v>
      </c>
      <c r="EZ73" s="43"/>
      <c r="FA73" s="43"/>
      <c r="FB73" s="37">
        <f t="shared" si="16"/>
        <v>1340</v>
      </c>
      <c r="FC73" s="37">
        <f t="shared" si="45"/>
        <v>1340</v>
      </c>
      <c r="FD73" s="39"/>
      <c r="FE73" s="39"/>
      <c r="FF73" s="43"/>
      <c r="FG73" s="43"/>
      <c r="FH73" s="132">
        <f t="shared" si="18"/>
        <v>0</v>
      </c>
      <c r="FI73" s="132">
        <f t="shared" si="19"/>
        <v>0</v>
      </c>
      <c r="FJ73" s="39"/>
      <c r="FK73" s="39"/>
      <c r="FL73" s="43"/>
      <c r="FM73" s="43"/>
      <c r="FN73" s="43"/>
      <c r="FO73" s="43"/>
      <c r="FP73" s="43"/>
      <c r="FQ73" s="43"/>
      <c r="FR73" s="39"/>
      <c r="FS73" s="135"/>
      <c r="FT73" s="43"/>
      <c r="FU73" s="43"/>
      <c r="FV73" s="43"/>
      <c r="FW73" s="43"/>
      <c r="FX73" s="43"/>
      <c r="FY73" s="43"/>
      <c r="FZ73" s="43"/>
      <c r="GA73" s="43"/>
      <c r="GB73" s="43"/>
      <c r="GC73" s="43"/>
      <c r="GD73" s="135"/>
      <c r="GE73" s="135"/>
      <c r="GF73" s="43"/>
      <c r="GG73" s="43"/>
      <c r="GH73" s="43"/>
      <c r="GI73" s="43"/>
      <c r="GJ73" s="43"/>
      <c r="GK73" s="43"/>
      <c r="GL73" s="43"/>
      <c r="GM73" s="43"/>
      <c r="GN73" s="43"/>
      <c r="GO73" s="43"/>
      <c r="GP73" s="43"/>
      <c r="GQ73" s="43"/>
      <c r="GR73" s="43"/>
      <c r="GS73" s="43"/>
      <c r="GT73" s="43"/>
      <c r="GU73" s="43"/>
      <c r="GV73" s="43"/>
      <c r="GW73" s="43"/>
      <c r="GX73" s="45"/>
      <c r="GY73" s="45"/>
      <c r="GZ73" s="43"/>
      <c r="HA73" s="43"/>
      <c r="HB73" s="43"/>
      <c r="HC73" s="43"/>
      <c r="HD73" s="39">
        <f t="shared" si="20"/>
        <v>0</v>
      </c>
      <c r="HE73" s="39">
        <f t="shared" si="46"/>
        <v>0</v>
      </c>
      <c r="HF73" s="39"/>
      <c r="HG73" s="39"/>
      <c r="HH73" s="39"/>
      <c r="HI73" s="43"/>
      <c r="HJ73" s="43"/>
      <c r="HK73" s="43"/>
      <c r="HL73" s="43"/>
      <c r="HM73" s="43"/>
      <c r="HN73" s="136"/>
      <c r="HO73" s="136"/>
      <c r="HP73" s="39">
        <f t="shared" si="22"/>
        <v>0</v>
      </c>
      <c r="HQ73" s="39">
        <f t="shared" si="47"/>
        <v>0</v>
      </c>
      <c r="HR73" s="39"/>
      <c r="HS73" s="39"/>
      <c r="HT73" s="39"/>
      <c r="HU73" s="43"/>
      <c r="HV73" s="39"/>
      <c r="HW73" s="39"/>
      <c r="HX73" s="39">
        <f t="shared" si="24"/>
        <v>0</v>
      </c>
      <c r="HY73" s="39">
        <f t="shared" si="48"/>
        <v>0</v>
      </c>
    </row>
    <row r="74" spans="1:233" ht="12.75" customHeight="1">
      <c r="A74" s="14" t="s">
        <v>247</v>
      </c>
      <c r="B74" s="34"/>
      <c r="C74" s="34"/>
      <c r="D74" s="39">
        <f>300+300+300+250+250+251+250+250+251+200+200+200</f>
        <v>3002</v>
      </c>
      <c r="E74" s="39">
        <f>300+300+300+250+250+251+250+250+251+200+200+200</f>
        <v>3002</v>
      </c>
      <c r="F74" s="34"/>
      <c r="G74" s="34"/>
      <c r="H74" s="34"/>
      <c r="I74" s="34"/>
      <c r="J74" s="34"/>
      <c r="K74" s="34"/>
      <c r="L74" s="34"/>
      <c r="M74" s="34"/>
      <c r="N74" s="34"/>
      <c r="O74" s="34"/>
      <c r="P74" s="34"/>
      <c r="Q74" s="34"/>
      <c r="R74" s="39">
        <v>175</v>
      </c>
      <c r="S74" s="39">
        <f>172.16529</f>
        <v>172.16529</v>
      </c>
      <c r="T74" s="39">
        <v>57.38843</v>
      </c>
      <c r="U74" s="39">
        <v>57.38843</v>
      </c>
      <c r="V74" s="39"/>
      <c r="W74" s="34"/>
      <c r="X74" s="34"/>
      <c r="Y74" s="34"/>
      <c r="Z74" s="34"/>
      <c r="AA74" s="34"/>
      <c r="AB74" s="34"/>
      <c r="AC74" s="34"/>
      <c r="AD74" s="34"/>
      <c r="AE74" s="34"/>
      <c r="AF74" s="39">
        <v>147</v>
      </c>
      <c r="AG74" s="39">
        <f>12.3+12.3+12.3+12.3+12.3+0.69572</f>
        <v>62.19572</v>
      </c>
      <c r="AH74" s="126">
        <f t="shared" si="5"/>
        <v>3381.38843</v>
      </c>
      <c r="AI74" s="126">
        <f t="shared" si="42"/>
        <v>3293.74944</v>
      </c>
      <c r="AJ74" s="43"/>
      <c r="AK74" s="43"/>
      <c r="AL74" s="134"/>
      <c r="AM74" s="41"/>
      <c r="AN74" s="41"/>
      <c r="AO74" s="41"/>
      <c r="AP74" s="41"/>
      <c r="AQ74" s="41"/>
      <c r="AR74" s="39"/>
      <c r="AS74" s="39"/>
      <c r="AT74" s="43"/>
      <c r="AU74" s="43"/>
      <c r="AV74" s="43"/>
      <c r="AW74" s="43"/>
      <c r="AX74" s="43"/>
      <c r="AY74" s="43"/>
      <c r="AZ74" s="39">
        <f t="shared" si="7"/>
        <v>0</v>
      </c>
      <c r="BA74" s="39">
        <f t="shared" si="8"/>
        <v>0</v>
      </c>
      <c r="BB74" s="39">
        <v>0</v>
      </c>
      <c r="BC74" s="39">
        <v>0</v>
      </c>
      <c r="BD74" s="39"/>
      <c r="BE74" s="43"/>
      <c r="BF74" s="43"/>
      <c r="BG74" s="43"/>
      <c r="BH74" s="43"/>
      <c r="BI74" s="43"/>
      <c r="BJ74" s="43"/>
      <c r="BK74" s="43"/>
      <c r="BL74" s="43"/>
      <c r="BM74" s="43"/>
      <c r="BN74" s="45"/>
      <c r="BO74" s="45"/>
      <c r="BP74" s="45"/>
      <c r="BQ74" s="45"/>
      <c r="BR74" s="43"/>
      <c r="BS74" s="43"/>
      <c r="BT74" s="43"/>
      <c r="BU74" s="43"/>
      <c r="BV74" s="45"/>
      <c r="BW74" s="45"/>
      <c r="BX74" s="43"/>
      <c r="BY74" s="45"/>
      <c r="BZ74" s="43"/>
      <c r="CA74" s="45"/>
      <c r="CB74" s="45"/>
      <c r="CC74" s="45"/>
      <c r="CD74" s="45"/>
      <c r="CE74" s="45"/>
      <c r="CF74" s="39">
        <f t="shared" si="9"/>
        <v>0</v>
      </c>
      <c r="CG74" s="39">
        <f t="shared" si="43"/>
        <v>0</v>
      </c>
      <c r="CH74" s="39"/>
      <c r="CI74" s="39"/>
      <c r="CJ74" s="39"/>
      <c r="CK74" s="45"/>
      <c r="CL74" s="45"/>
      <c r="CM74" s="43"/>
      <c r="CN74" s="43"/>
      <c r="CO74" s="43"/>
      <c r="CP74" s="43"/>
      <c r="CQ74" s="39"/>
      <c r="CR74" s="43"/>
      <c r="CS74" s="45"/>
      <c r="CT74" s="45"/>
      <c r="CU74" s="45"/>
      <c r="CV74" s="45"/>
      <c r="CW74" s="43"/>
      <c r="CX74" s="43"/>
      <c r="CY74" s="43"/>
      <c r="CZ74" s="39"/>
      <c r="DA74" s="45"/>
      <c r="DB74" s="43"/>
      <c r="DC74" s="43"/>
      <c r="DD74" s="43"/>
      <c r="DE74" s="43"/>
      <c r="DF74" s="39">
        <f t="shared" si="11"/>
        <v>0</v>
      </c>
      <c r="DG74" s="39">
        <f t="shared" si="44"/>
        <v>0</v>
      </c>
      <c r="DH74" s="39"/>
      <c r="DI74" s="39"/>
      <c r="DJ74" s="39">
        <v>0</v>
      </c>
      <c r="DK74" s="39">
        <f t="shared" si="13"/>
        <v>0</v>
      </c>
      <c r="DL74" s="39"/>
      <c r="DM74" s="39"/>
      <c r="DN74" s="45"/>
      <c r="DO74" s="45"/>
      <c r="DP74" s="39">
        <f t="shared" si="14"/>
        <v>0</v>
      </c>
      <c r="DQ74" s="39">
        <f t="shared" si="15"/>
        <v>0</v>
      </c>
      <c r="DR74" s="39"/>
      <c r="DS74" s="39"/>
      <c r="DT74" s="43"/>
      <c r="DU74" s="43"/>
      <c r="DV74" s="43"/>
      <c r="DW74" s="43"/>
      <c r="DX74" s="43"/>
      <c r="DY74" s="43"/>
      <c r="DZ74" s="39"/>
      <c r="EA74" s="39"/>
      <c r="EB74" s="43"/>
      <c r="EC74" s="43"/>
      <c r="ED74" s="43"/>
      <c r="EE74" s="43"/>
      <c r="EF74" s="39"/>
      <c r="EG74" s="43"/>
      <c r="EH74" s="43">
        <v>277</v>
      </c>
      <c r="EI74" s="39">
        <v>277</v>
      </c>
      <c r="EJ74" s="39">
        <v>60</v>
      </c>
      <c r="EK74" s="43">
        <v>26</v>
      </c>
      <c r="EL74" s="43"/>
      <c r="EM74" s="43"/>
      <c r="EN74" s="45"/>
      <c r="EO74" s="45"/>
      <c r="EP74" s="43"/>
      <c r="EQ74" s="43"/>
      <c r="ER74" s="43"/>
      <c r="ES74" s="43"/>
      <c r="ET74" s="135"/>
      <c r="EU74" s="135"/>
      <c r="EV74" s="135"/>
      <c r="EW74" s="135"/>
      <c r="EX74" s="43"/>
      <c r="EY74" s="43"/>
      <c r="EZ74" s="43"/>
      <c r="FA74" s="43"/>
      <c r="FB74" s="37">
        <f t="shared" si="16"/>
        <v>337</v>
      </c>
      <c r="FC74" s="37">
        <f t="shared" si="45"/>
        <v>303</v>
      </c>
      <c r="FD74" s="39"/>
      <c r="FE74" s="39"/>
      <c r="FF74" s="43"/>
      <c r="FG74" s="43"/>
      <c r="FH74" s="132">
        <f t="shared" si="18"/>
        <v>0</v>
      </c>
      <c r="FI74" s="132">
        <f t="shared" si="19"/>
        <v>0</v>
      </c>
      <c r="FJ74" s="39"/>
      <c r="FK74" s="39"/>
      <c r="FL74" s="43"/>
      <c r="FM74" s="43"/>
      <c r="FN74" s="43"/>
      <c r="FO74" s="43"/>
      <c r="FP74" s="43"/>
      <c r="FQ74" s="43"/>
      <c r="FR74" s="39"/>
      <c r="FS74" s="135"/>
      <c r="FT74" s="43"/>
      <c r="FU74" s="43"/>
      <c r="FV74" s="43"/>
      <c r="FW74" s="43"/>
      <c r="FX74" s="43"/>
      <c r="FY74" s="43"/>
      <c r="FZ74" s="43"/>
      <c r="GA74" s="43"/>
      <c r="GB74" s="43"/>
      <c r="GC74" s="43"/>
      <c r="GD74" s="135"/>
      <c r="GE74" s="135"/>
      <c r="GF74" s="43"/>
      <c r="GG74" s="43"/>
      <c r="GH74" s="43"/>
      <c r="GI74" s="43"/>
      <c r="GJ74" s="43"/>
      <c r="GK74" s="43"/>
      <c r="GL74" s="43"/>
      <c r="GM74" s="43"/>
      <c r="GN74" s="43"/>
      <c r="GO74" s="43"/>
      <c r="GP74" s="43"/>
      <c r="GQ74" s="43"/>
      <c r="GR74" s="43"/>
      <c r="GS74" s="43"/>
      <c r="GT74" s="43"/>
      <c r="GU74" s="43"/>
      <c r="GV74" s="43"/>
      <c r="GW74" s="43"/>
      <c r="GX74" s="45"/>
      <c r="GY74" s="45"/>
      <c r="GZ74" s="43"/>
      <c r="HA74" s="43"/>
      <c r="HB74" s="43"/>
      <c r="HC74" s="43"/>
      <c r="HD74" s="39">
        <f t="shared" si="20"/>
        <v>0</v>
      </c>
      <c r="HE74" s="39">
        <f t="shared" si="46"/>
        <v>0</v>
      </c>
      <c r="HF74" s="39"/>
      <c r="HG74" s="39"/>
      <c r="HH74" s="39"/>
      <c r="HI74" s="43"/>
      <c r="HJ74" s="43"/>
      <c r="HK74" s="43"/>
      <c r="HL74" s="43"/>
      <c r="HM74" s="43"/>
      <c r="HN74" s="136"/>
      <c r="HO74" s="136"/>
      <c r="HP74" s="39">
        <f t="shared" si="22"/>
        <v>0</v>
      </c>
      <c r="HQ74" s="39">
        <f t="shared" si="47"/>
        <v>0</v>
      </c>
      <c r="HR74" s="39"/>
      <c r="HS74" s="39"/>
      <c r="HT74" s="39"/>
      <c r="HU74" s="43"/>
      <c r="HV74" s="39"/>
      <c r="HW74" s="39"/>
      <c r="HX74" s="39">
        <f t="shared" si="24"/>
        <v>0</v>
      </c>
      <c r="HY74" s="39">
        <f t="shared" si="48"/>
        <v>0</v>
      </c>
    </row>
    <row r="75" spans="1:233" ht="12.75">
      <c r="A75" s="13" t="s">
        <v>133</v>
      </c>
      <c r="B75" s="39">
        <f>SUM(B76:B81)</f>
        <v>0</v>
      </c>
      <c r="C75" s="39">
        <f aca="true" t="shared" si="57" ref="C75:BN75">SUM(C76:C81)</f>
        <v>0</v>
      </c>
      <c r="D75" s="39">
        <f t="shared" si="57"/>
        <v>19185</v>
      </c>
      <c r="E75" s="39">
        <f t="shared" si="57"/>
        <v>19185</v>
      </c>
      <c r="F75" s="39">
        <f t="shared" si="57"/>
        <v>93403</v>
      </c>
      <c r="G75" s="39">
        <f t="shared" si="57"/>
        <v>93403</v>
      </c>
      <c r="H75" s="39">
        <f t="shared" si="57"/>
        <v>0</v>
      </c>
      <c r="I75" s="39">
        <f t="shared" si="57"/>
        <v>0</v>
      </c>
      <c r="J75" s="39">
        <f t="shared" si="57"/>
        <v>0</v>
      </c>
      <c r="K75" s="39">
        <f t="shared" si="57"/>
        <v>0</v>
      </c>
      <c r="L75" s="39">
        <f t="shared" si="57"/>
        <v>0</v>
      </c>
      <c r="M75" s="39">
        <f t="shared" si="57"/>
        <v>0</v>
      </c>
      <c r="N75" s="39">
        <f t="shared" si="57"/>
        <v>5000</v>
      </c>
      <c r="O75" s="39">
        <f t="shared" si="57"/>
        <v>5000</v>
      </c>
      <c r="P75" s="39">
        <f t="shared" si="57"/>
        <v>0</v>
      </c>
      <c r="Q75" s="39">
        <f t="shared" si="57"/>
        <v>0</v>
      </c>
      <c r="R75" s="39">
        <f t="shared" si="57"/>
        <v>4830</v>
      </c>
      <c r="S75" s="39">
        <f t="shared" si="57"/>
        <v>4827.04455</v>
      </c>
      <c r="T75" s="39">
        <f t="shared" si="57"/>
        <v>2862.39642</v>
      </c>
      <c r="U75" s="39">
        <f t="shared" si="57"/>
        <v>2862.39642</v>
      </c>
      <c r="V75" s="39">
        <f t="shared" si="57"/>
        <v>0</v>
      </c>
      <c r="W75" s="39">
        <f t="shared" si="57"/>
        <v>0</v>
      </c>
      <c r="X75" s="39">
        <f t="shared" si="57"/>
        <v>0</v>
      </c>
      <c r="Y75" s="39">
        <f t="shared" si="57"/>
        <v>0</v>
      </c>
      <c r="Z75" s="39">
        <f t="shared" si="57"/>
        <v>9500</v>
      </c>
      <c r="AA75" s="39">
        <f t="shared" si="57"/>
        <v>9500</v>
      </c>
      <c r="AB75" s="39">
        <f t="shared" si="57"/>
        <v>0</v>
      </c>
      <c r="AC75" s="39">
        <f t="shared" si="57"/>
        <v>0</v>
      </c>
      <c r="AD75" s="39">
        <f t="shared" si="57"/>
        <v>0</v>
      </c>
      <c r="AE75" s="39">
        <f t="shared" si="57"/>
        <v>0</v>
      </c>
      <c r="AF75" s="39">
        <f t="shared" si="57"/>
        <v>735</v>
      </c>
      <c r="AG75" s="39">
        <f t="shared" si="57"/>
        <v>735</v>
      </c>
      <c r="AH75" s="39">
        <f t="shared" si="57"/>
        <v>135515.39642</v>
      </c>
      <c r="AI75" s="39">
        <f t="shared" si="57"/>
        <v>135512.44097</v>
      </c>
      <c r="AJ75" s="39">
        <f t="shared" si="57"/>
        <v>271.2</v>
      </c>
      <c r="AK75" s="39">
        <f t="shared" si="57"/>
        <v>271.2</v>
      </c>
      <c r="AL75" s="39">
        <f t="shared" si="57"/>
        <v>0</v>
      </c>
      <c r="AM75" s="39">
        <f t="shared" si="57"/>
        <v>0</v>
      </c>
      <c r="AN75" s="39">
        <f t="shared" si="57"/>
        <v>400</v>
      </c>
      <c r="AO75" s="39">
        <f t="shared" si="57"/>
        <v>400</v>
      </c>
      <c r="AP75" s="39">
        <f t="shared" si="57"/>
        <v>200</v>
      </c>
      <c r="AQ75" s="39">
        <f t="shared" si="57"/>
        <v>200</v>
      </c>
      <c r="AR75" s="39">
        <f t="shared" si="57"/>
        <v>2029</v>
      </c>
      <c r="AS75" s="39">
        <f t="shared" si="57"/>
        <v>2029</v>
      </c>
      <c r="AT75" s="39">
        <f t="shared" si="57"/>
        <v>50</v>
      </c>
      <c r="AU75" s="39">
        <f t="shared" si="57"/>
        <v>50</v>
      </c>
      <c r="AV75" s="39">
        <f t="shared" si="57"/>
        <v>0</v>
      </c>
      <c r="AW75" s="39">
        <f t="shared" si="57"/>
        <v>0</v>
      </c>
      <c r="AX75" s="39">
        <f t="shared" si="57"/>
        <v>0</v>
      </c>
      <c r="AY75" s="39">
        <f t="shared" si="57"/>
        <v>0</v>
      </c>
      <c r="AZ75" s="39">
        <f t="shared" si="57"/>
        <v>2950.2</v>
      </c>
      <c r="BA75" s="39">
        <f t="shared" si="57"/>
        <v>2950.2</v>
      </c>
      <c r="BB75" s="39">
        <f t="shared" si="57"/>
        <v>1666</v>
      </c>
      <c r="BC75" s="39">
        <f t="shared" si="57"/>
        <v>1666</v>
      </c>
      <c r="BD75" s="39">
        <f t="shared" si="57"/>
        <v>313.7</v>
      </c>
      <c r="BE75" s="39">
        <f t="shared" si="57"/>
        <v>313.7</v>
      </c>
      <c r="BF75" s="39">
        <f t="shared" si="57"/>
        <v>0</v>
      </c>
      <c r="BG75" s="39">
        <f t="shared" si="57"/>
        <v>0</v>
      </c>
      <c r="BH75" s="39">
        <f t="shared" si="57"/>
        <v>15341.9</v>
      </c>
      <c r="BI75" s="39">
        <f t="shared" si="57"/>
        <v>14721.119</v>
      </c>
      <c r="BJ75" s="39">
        <f t="shared" si="57"/>
        <v>1355</v>
      </c>
      <c r="BK75" s="39">
        <f t="shared" si="57"/>
        <v>1355</v>
      </c>
      <c r="BL75" s="39">
        <f t="shared" si="57"/>
        <v>3746.5</v>
      </c>
      <c r="BM75" s="39">
        <f t="shared" si="57"/>
        <v>3098</v>
      </c>
      <c r="BN75" s="39">
        <f t="shared" si="57"/>
        <v>198</v>
      </c>
      <c r="BO75" s="39">
        <f aca="true" t="shared" si="58" ref="BO75:DZ75">SUM(BO76:BO81)</f>
        <v>198</v>
      </c>
      <c r="BP75" s="39">
        <f t="shared" si="58"/>
        <v>0</v>
      </c>
      <c r="BQ75" s="39">
        <f t="shared" si="58"/>
        <v>0</v>
      </c>
      <c r="BR75" s="39">
        <f t="shared" si="58"/>
        <v>0</v>
      </c>
      <c r="BS75" s="39">
        <f t="shared" si="58"/>
        <v>0</v>
      </c>
      <c r="BT75" s="39">
        <f t="shared" si="58"/>
        <v>189</v>
      </c>
      <c r="BU75" s="39">
        <f t="shared" si="58"/>
        <v>189</v>
      </c>
      <c r="BV75" s="39">
        <f t="shared" si="58"/>
        <v>395.6</v>
      </c>
      <c r="BW75" s="39">
        <f t="shared" si="58"/>
        <v>176</v>
      </c>
      <c r="BX75" s="39">
        <f t="shared" si="58"/>
        <v>12207.8</v>
      </c>
      <c r="BY75" s="39">
        <f t="shared" si="58"/>
        <v>9577.616</v>
      </c>
      <c r="BZ75" s="39">
        <f t="shared" si="58"/>
        <v>6010.2</v>
      </c>
      <c r="CA75" s="39">
        <f t="shared" si="58"/>
        <v>5329.8</v>
      </c>
      <c r="CB75" s="39">
        <f t="shared" si="58"/>
        <v>0</v>
      </c>
      <c r="CC75" s="39">
        <f t="shared" si="58"/>
        <v>0</v>
      </c>
      <c r="CD75" s="39">
        <f t="shared" si="58"/>
        <v>0</v>
      </c>
      <c r="CE75" s="39">
        <f t="shared" si="58"/>
        <v>0</v>
      </c>
      <c r="CF75" s="39">
        <f t="shared" si="58"/>
        <v>39757.7</v>
      </c>
      <c r="CG75" s="39">
        <f t="shared" si="58"/>
        <v>34958.23500000001</v>
      </c>
      <c r="CH75" s="39">
        <f t="shared" si="58"/>
        <v>7036.5736400000005</v>
      </c>
      <c r="CI75" s="39">
        <f t="shared" si="58"/>
        <v>7036.5736400000005</v>
      </c>
      <c r="CJ75" s="39">
        <f t="shared" si="58"/>
        <v>6041.42227</v>
      </c>
      <c r="CK75" s="39">
        <f t="shared" si="58"/>
        <v>3832.0171200000004</v>
      </c>
      <c r="CL75" s="39">
        <f t="shared" si="58"/>
        <v>0</v>
      </c>
      <c r="CM75" s="39">
        <f t="shared" si="58"/>
        <v>0</v>
      </c>
      <c r="CN75" s="39">
        <f t="shared" si="58"/>
        <v>0</v>
      </c>
      <c r="CO75" s="39">
        <f t="shared" si="58"/>
        <v>0</v>
      </c>
      <c r="CP75" s="39">
        <f t="shared" si="58"/>
        <v>9965.28</v>
      </c>
      <c r="CQ75" s="39">
        <f t="shared" si="58"/>
        <v>9965.28</v>
      </c>
      <c r="CR75" s="39">
        <f t="shared" si="58"/>
        <v>9555.37</v>
      </c>
      <c r="CS75" s="39">
        <f t="shared" si="58"/>
        <v>9555.37</v>
      </c>
      <c r="CT75" s="39">
        <f t="shared" si="58"/>
        <v>0</v>
      </c>
      <c r="CU75" s="39">
        <f t="shared" si="58"/>
        <v>0</v>
      </c>
      <c r="CV75" s="39">
        <f t="shared" si="58"/>
        <v>0</v>
      </c>
      <c r="CW75" s="39">
        <f t="shared" si="58"/>
        <v>0</v>
      </c>
      <c r="CX75" s="39">
        <f t="shared" si="58"/>
        <v>0</v>
      </c>
      <c r="CY75" s="39">
        <f t="shared" si="58"/>
        <v>0</v>
      </c>
      <c r="CZ75" s="39">
        <f t="shared" si="58"/>
        <v>242.424</v>
      </c>
      <c r="DA75" s="39">
        <f t="shared" si="58"/>
        <v>189.9981</v>
      </c>
      <c r="DB75" s="39">
        <f t="shared" si="58"/>
        <v>0</v>
      </c>
      <c r="DC75" s="39">
        <f t="shared" si="58"/>
        <v>0</v>
      </c>
      <c r="DD75" s="39">
        <f t="shared" si="58"/>
        <v>0</v>
      </c>
      <c r="DE75" s="39">
        <f t="shared" si="58"/>
        <v>0</v>
      </c>
      <c r="DF75" s="39">
        <f t="shared" si="58"/>
        <v>32841.06991</v>
      </c>
      <c r="DG75" s="39">
        <f t="shared" si="58"/>
        <v>30579.238860000005</v>
      </c>
      <c r="DH75" s="39">
        <f t="shared" si="58"/>
        <v>1066.41</v>
      </c>
      <c r="DI75" s="39">
        <f t="shared" si="58"/>
        <v>1066.41</v>
      </c>
      <c r="DJ75" s="39">
        <f t="shared" si="58"/>
        <v>1066.41</v>
      </c>
      <c r="DK75" s="39">
        <f t="shared" si="58"/>
        <v>1066.41</v>
      </c>
      <c r="DL75" s="39">
        <f t="shared" si="58"/>
        <v>0</v>
      </c>
      <c r="DM75" s="39">
        <f t="shared" si="58"/>
        <v>0</v>
      </c>
      <c r="DN75" s="39">
        <f t="shared" si="58"/>
        <v>0</v>
      </c>
      <c r="DO75" s="39">
        <f t="shared" si="58"/>
        <v>0</v>
      </c>
      <c r="DP75" s="39">
        <f t="shared" si="58"/>
        <v>0</v>
      </c>
      <c r="DQ75" s="39">
        <f t="shared" si="58"/>
        <v>0</v>
      </c>
      <c r="DR75" s="39">
        <f t="shared" si="58"/>
        <v>10</v>
      </c>
      <c r="DS75" s="39">
        <f t="shared" si="58"/>
        <v>10</v>
      </c>
      <c r="DT75" s="39">
        <f t="shared" si="58"/>
        <v>20</v>
      </c>
      <c r="DU75" s="39">
        <f t="shared" si="58"/>
        <v>20</v>
      </c>
      <c r="DV75" s="39">
        <f t="shared" si="58"/>
        <v>0</v>
      </c>
      <c r="DW75" s="39">
        <f t="shared" si="58"/>
        <v>0</v>
      </c>
      <c r="DX75" s="39">
        <f t="shared" si="58"/>
        <v>0</v>
      </c>
      <c r="DY75" s="39">
        <f t="shared" si="58"/>
        <v>0</v>
      </c>
      <c r="DZ75" s="39">
        <f t="shared" si="58"/>
        <v>0</v>
      </c>
      <c r="EA75" s="39">
        <f aca="true" t="shared" si="59" ref="EA75:GL75">SUM(EA76:EA81)</f>
        <v>0</v>
      </c>
      <c r="EB75" s="39">
        <f t="shared" si="59"/>
        <v>0</v>
      </c>
      <c r="EC75" s="39">
        <f t="shared" si="59"/>
        <v>0</v>
      </c>
      <c r="ED75" s="39">
        <f t="shared" si="59"/>
        <v>350</v>
      </c>
      <c r="EE75" s="39">
        <f t="shared" si="59"/>
        <v>350</v>
      </c>
      <c r="EF75" s="39">
        <f t="shared" si="59"/>
        <v>1522</v>
      </c>
      <c r="EG75" s="39">
        <f t="shared" si="59"/>
        <v>1522</v>
      </c>
      <c r="EH75" s="39">
        <f t="shared" si="59"/>
        <v>10505.3</v>
      </c>
      <c r="EI75" s="39">
        <f t="shared" si="59"/>
        <v>10505.3</v>
      </c>
      <c r="EJ75" s="39">
        <f t="shared" si="59"/>
        <v>1474</v>
      </c>
      <c r="EK75" s="39">
        <f t="shared" si="59"/>
        <v>1474</v>
      </c>
      <c r="EL75" s="39">
        <f t="shared" si="59"/>
        <v>0</v>
      </c>
      <c r="EM75" s="39">
        <f t="shared" si="59"/>
        <v>0</v>
      </c>
      <c r="EN75" s="39">
        <f t="shared" si="59"/>
        <v>0</v>
      </c>
      <c r="EO75" s="39">
        <f t="shared" si="59"/>
        <v>0</v>
      </c>
      <c r="EP75" s="39">
        <f t="shared" si="59"/>
        <v>0</v>
      </c>
      <c r="EQ75" s="39">
        <f t="shared" si="59"/>
        <v>0</v>
      </c>
      <c r="ER75" s="39">
        <f t="shared" si="59"/>
        <v>0</v>
      </c>
      <c r="ES75" s="39">
        <f t="shared" si="59"/>
        <v>0</v>
      </c>
      <c r="ET75" s="39">
        <f t="shared" si="59"/>
        <v>0</v>
      </c>
      <c r="EU75" s="39">
        <f t="shared" si="59"/>
        <v>0</v>
      </c>
      <c r="EV75" s="39">
        <f t="shared" si="59"/>
        <v>0</v>
      </c>
      <c r="EW75" s="39">
        <f t="shared" si="59"/>
        <v>0</v>
      </c>
      <c r="EX75" s="39">
        <f t="shared" si="59"/>
        <v>200</v>
      </c>
      <c r="EY75" s="39">
        <f t="shared" si="59"/>
        <v>200</v>
      </c>
      <c r="EZ75" s="39">
        <f t="shared" si="59"/>
        <v>50</v>
      </c>
      <c r="FA75" s="39">
        <f t="shared" si="59"/>
        <v>50</v>
      </c>
      <c r="FB75" s="39">
        <f t="shared" si="59"/>
        <v>14131.3</v>
      </c>
      <c r="FC75" s="39">
        <f t="shared" si="59"/>
        <v>14131.3</v>
      </c>
      <c r="FD75" s="39">
        <f t="shared" si="59"/>
        <v>175</v>
      </c>
      <c r="FE75" s="39">
        <f t="shared" si="59"/>
        <v>175</v>
      </c>
      <c r="FF75" s="39">
        <f t="shared" si="59"/>
        <v>9.21</v>
      </c>
      <c r="FG75" s="39">
        <f t="shared" si="59"/>
        <v>9.21</v>
      </c>
      <c r="FH75" s="39">
        <f t="shared" si="59"/>
        <v>184.21</v>
      </c>
      <c r="FI75" s="39">
        <f t="shared" si="59"/>
        <v>184.21</v>
      </c>
      <c r="FJ75" s="39">
        <f t="shared" si="59"/>
        <v>0</v>
      </c>
      <c r="FK75" s="39">
        <f t="shared" si="59"/>
        <v>0</v>
      </c>
      <c r="FL75" s="39">
        <f t="shared" si="59"/>
        <v>0</v>
      </c>
      <c r="FM75" s="39">
        <f t="shared" si="59"/>
        <v>0</v>
      </c>
      <c r="FN75" s="39">
        <f t="shared" si="59"/>
        <v>0</v>
      </c>
      <c r="FO75" s="39">
        <f t="shared" si="59"/>
        <v>0</v>
      </c>
      <c r="FP75" s="39">
        <f t="shared" si="59"/>
        <v>0</v>
      </c>
      <c r="FQ75" s="39">
        <f t="shared" si="59"/>
        <v>0</v>
      </c>
      <c r="FR75" s="39">
        <f t="shared" si="59"/>
        <v>3237.2</v>
      </c>
      <c r="FS75" s="39">
        <f t="shared" si="59"/>
        <v>2807.705</v>
      </c>
      <c r="FT75" s="39">
        <f t="shared" si="59"/>
        <v>1867</v>
      </c>
      <c r="FU75" s="39">
        <f t="shared" si="59"/>
        <v>1867</v>
      </c>
      <c r="FV75" s="39">
        <f t="shared" si="59"/>
        <v>809</v>
      </c>
      <c r="FW75" s="39">
        <f t="shared" si="59"/>
        <v>809</v>
      </c>
      <c r="FX75" s="39">
        <f t="shared" si="59"/>
        <v>16532</v>
      </c>
      <c r="FY75" s="39">
        <f t="shared" si="59"/>
        <v>16532</v>
      </c>
      <c r="FZ75" s="39">
        <f t="shared" si="59"/>
        <v>2999</v>
      </c>
      <c r="GA75" s="39">
        <f t="shared" si="59"/>
        <v>2999</v>
      </c>
      <c r="GB75" s="39">
        <f t="shared" si="59"/>
        <v>0</v>
      </c>
      <c r="GC75" s="39">
        <f t="shared" si="59"/>
        <v>0</v>
      </c>
      <c r="GD75" s="39">
        <f t="shared" si="59"/>
        <v>12197.2</v>
      </c>
      <c r="GE75" s="39">
        <f t="shared" si="59"/>
        <v>5754.0599999999995</v>
      </c>
      <c r="GF75" s="39">
        <f t="shared" si="59"/>
        <v>1475.9</v>
      </c>
      <c r="GG75" s="39">
        <f t="shared" si="59"/>
        <v>1475.9</v>
      </c>
      <c r="GH75" s="39">
        <f t="shared" si="59"/>
        <v>631.9</v>
      </c>
      <c r="GI75" s="39">
        <f t="shared" si="59"/>
        <v>631.9</v>
      </c>
      <c r="GJ75" s="39">
        <f t="shared" si="59"/>
        <v>60133.7</v>
      </c>
      <c r="GK75" s="39">
        <f t="shared" si="59"/>
        <v>60133.7</v>
      </c>
      <c r="GL75" s="39">
        <f t="shared" si="59"/>
        <v>100687.9</v>
      </c>
      <c r="GM75" s="39">
        <f aca="true" t="shared" si="60" ref="GM75:HY75">SUM(GM76:GM81)</f>
        <v>100687.9</v>
      </c>
      <c r="GN75" s="39">
        <f t="shared" si="60"/>
        <v>0</v>
      </c>
      <c r="GO75" s="39">
        <f t="shared" si="60"/>
        <v>0</v>
      </c>
      <c r="GP75" s="39">
        <f t="shared" si="60"/>
        <v>4792</v>
      </c>
      <c r="GQ75" s="39">
        <f t="shared" si="60"/>
        <v>4792</v>
      </c>
      <c r="GR75" s="39">
        <f t="shared" si="60"/>
        <v>1004</v>
      </c>
      <c r="GS75" s="39">
        <f t="shared" si="60"/>
        <v>1004</v>
      </c>
      <c r="GT75" s="39">
        <f t="shared" si="60"/>
        <v>295</v>
      </c>
      <c r="GU75" s="39">
        <f t="shared" si="60"/>
        <v>295</v>
      </c>
      <c r="GV75" s="39">
        <f t="shared" si="60"/>
        <v>13763</v>
      </c>
      <c r="GW75" s="39">
        <f t="shared" si="60"/>
        <v>13763</v>
      </c>
      <c r="GX75" s="39">
        <f t="shared" si="60"/>
        <v>1811.5</v>
      </c>
      <c r="GY75" s="39">
        <f t="shared" si="60"/>
        <v>1811.5</v>
      </c>
      <c r="GZ75" s="39">
        <f t="shared" si="60"/>
        <v>50</v>
      </c>
      <c r="HA75" s="39">
        <f t="shared" si="60"/>
        <v>50</v>
      </c>
      <c r="HB75" s="39">
        <f t="shared" si="60"/>
        <v>93.3</v>
      </c>
      <c r="HC75" s="39">
        <f t="shared" si="60"/>
        <v>93.3</v>
      </c>
      <c r="HD75" s="39">
        <f t="shared" si="60"/>
        <v>222379.59999999998</v>
      </c>
      <c r="HE75" s="39">
        <f t="shared" si="60"/>
        <v>215506.96499999997</v>
      </c>
      <c r="HF75" s="39">
        <f t="shared" si="60"/>
        <v>0</v>
      </c>
      <c r="HG75" s="39">
        <f t="shared" si="60"/>
        <v>0</v>
      </c>
      <c r="HH75" s="39">
        <f t="shared" si="60"/>
        <v>0</v>
      </c>
      <c r="HI75" s="39">
        <f t="shared" si="60"/>
        <v>0</v>
      </c>
      <c r="HJ75" s="39">
        <f t="shared" si="60"/>
        <v>0</v>
      </c>
      <c r="HK75" s="39">
        <f t="shared" si="60"/>
        <v>0</v>
      </c>
      <c r="HL75" s="39">
        <f t="shared" si="60"/>
        <v>0</v>
      </c>
      <c r="HM75" s="39">
        <f t="shared" si="60"/>
        <v>0</v>
      </c>
      <c r="HN75" s="39">
        <f t="shared" si="60"/>
        <v>0</v>
      </c>
      <c r="HO75" s="39">
        <f t="shared" si="60"/>
        <v>0</v>
      </c>
      <c r="HP75" s="39">
        <f t="shared" si="60"/>
        <v>0</v>
      </c>
      <c r="HQ75" s="39">
        <f t="shared" si="60"/>
        <v>0</v>
      </c>
      <c r="HR75" s="39">
        <f t="shared" si="60"/>
        <v>0</v>
      </c>
      <c r="HS75" s="39">
        <f t="shared" si="60"/>
        <v>0</v>
      </c>
      <c r="HT75" s="39">
        <f t="shared" si="60"/>
        <v>302</v>
      </c>
      <c r="HU75" s="39">
        <f t="shared" si="60"/>
        <v>302</v>
      </c>
      <c r="HV75" s="39">
        <f t="shared" si="60"/>
        <v>0</v>
      </c>
      <c r="HW75" s="39">
        <f t="shared" si="60"/>
        <v>0</v>
      </c>
      <c r="HX75" s="39">
        <f t="shared" si="60"/>
        <v>302</v>
      </c>
      <c r="HY75" s="39">
        <f t="shared" si="60"/>
        <v>302</v>
      </c>
    </row>
    <row r="76" spans="1:233" ht="12.75" customHeight="1">
      <c r="A76" s="12" t="s">
        <v>156</v>
      </c>
      <c r="B76" s="34"/>
      <c r="C76" s="34"/>
      <c r="D76" s="34"/>
      <c r="E76" s="34"/>
      <c r="F76" s="39">
        <f>9340+6227+7784+4670+7784+6135+6135+6135+8518+6135+6135+6135+6135+6135</f>
        <v>93403</v>
      </c>
      <c r="G76" s="39">
        <f>9340+6227+7784+4670+7784+6135+6135+6135+8518+6135+6135+6135+6135+6135</f>
        <v>93403</v>
      </c>
      <c r="H76" s="34"/>
      <c r="I76" s="34"/>
      <c r="J76" s="34"/>
      <c r="K76" s="34"/>
      <c r="L76" s="34"/>
      <c r="M76" s="34"/>
      <c r="N76" s="39">
        <v>5000</v>
      </c>
      <c r="O76" s="39">
        <v>5000</v>
      </c>
      <c r="P76" s="51"/>
      <c r="Q76" s="51"/>
      <c r="R76" s="39">
        <v>4830</v>
      </c>
      <c r="S76" s="39">
        <f>4827.04455</f>
        <v>4827.04455</v>
      </c>
      <c r="T76" s="39">
        <v>1612.39642</v>
      </c>
      <c r="U76" s="39">
        <v>1612.39642</v>
      </c>
      <c r="V76" s="39"/>
      <c r="W76" s="34"/>
      <c r="X76" s="34"/>
      <c r="Y76" s="34"/>
      <c r="Z76" s="52">
        <v>9500</v>
      </c>
      <c r="AA76" s="52">
        <v>9500</v>
      </c>
      <c r="AB76" s="34"/>
      <c r="AC76" s="34"/>
      <c r="AD76" s="34"/>
      <c r="AE76" s="34"/>
      <c r="AF76" s="39">
        <v>0</v>
      </c>
      <c r="AG76" s="48"/>
      <c r="AH76" s="126">
        <f t="shared" si="5"/>
        <v>114345.39642</v>
      </c>
      <c r="AI76" s="126">
        <f t="shared" si="42"/>
        <v>114342.44097000001</v>
      </c>
      <c r="AJ76" s="43">
        <v>271.2</v>
      </c>
      <c r="AK76" s="43">
        <v>271.2</v>
      </c>
      <c r="AL76" s="134"/>
      <c r="AM76" s="41"/>
      <c r="AN76" s="41">
        <v>400</v>
      </c>
      <c r="AO76" s="41">
        <v>400</v>
      </c>
      <c r="AP76" s="41">
        <v>200</v>
      </c>
      <c r="AQ76" s="41">
        <v>200</v>
      </c>
      <c r="AR76" s="39">
        <v>2029</v>
      </c>
      <c r="AS76" s="39">
        <v>2029</v>
      </c>
      <c r="AT76" s="43">
        <v>50</v>
      </c>
      <c r="AU76" s="43">
        <v>50</v>
      </c>
      <c r="AV76" s="43"/>
      <c r="AW76" s="43"/>
      <c r="AX76" s="43"/>
      <c r="AY76" s="43"/>
      <c r="AZ76" s="39">
        <f t="shared" si="7"/>
        <v>2950.2</v>
      </c>
      <c r="BA76" s="39">
        <f t="shared" si="8"/>
        <v>2950.2</v>
      </c>
      <c r="BB76" s="39">
        <v>1666</v>
      </c>
      <c r="BC76" s="39">
        <v>1666</v>
      </c>
      <c r="BD76" s="39">
        <v>313.7</v>
      </c>
      <c r="BE76" s="43">
        <v>313.7</v>
      </c>
      <c r="BF76" s="43"/>
      <c r="BG76" s="43"/>
      <c r="BH76" s="43">
        <v>15341.9</v>
      </c>
      <c r="BI76" s="43">
        <v>14721.119</v>
      </c>
      <c r="BJ76" s="43">
        <v>1355</v>
      </c>
      <c r="BK76" s="43">
        <v>1355</v>
      </c>
      <c r="BL76" s="43">
        <v>3746.5</v>
      </c>
      <c r="BM76" s="43">
        <v>3098</v>
      </c>
      <c r="BN76" s="43">
        <v>198</v>
      </c>
      <c r="BO76" s="43">
        <v>198</v>
      </c>
      <c r="BP76" s="43">
        <v>0</v>
      </c>
      <c r="BQ76" s="43">
        <v>0</v>
      </c>
      <c r="BR76" s="43"/>
      <c r="BS76" s="43"/>
      <c r="BT76" s="43">
        <v>189</v>
      </c>
      <c r="BU76" s="43">
        <v>189</v>
      </c>
      <c r="BV76" s="43">
        <v>395.6</v>
      </c>
      <c r="BW76" s="43">
        <v>176</v>
      </c>
      <c r="BX76" s="43">
        <v>12207.8</v>
      </c>
      <c r="BY76" s="43">
        <v>9577.616</v>
      </c>
      <c r="BZ76" s="43">
        <v>6010.2</v>
      </c>
      <c r="CA76" s="43">
        <v>5329.8</v>
      </c>
      <c r="CB76" s="39"/>
      <c r="CC76" s="39"/>
      <c r="CD76" s="45"/>
      <c r="CE76" s="45"/>
      <c r="CF76" s="39">
        <f t="shared" si="9"/>
        <v>39757.7</v>
      </c>
      <c r="CG76" s="39">
        <f t="shared" si="43"/>
        <v>34958.23500000001</v>
      </c>
      <c r="CH76" s="39"/>
      <c r="CI76" s="39"/>
      <c r="CJ76" s="39"/>
      <c r="CK76" s="45"/>
      <c r="CL76" s="45"/>
      <c r="CM76" s="43"/>
      <c r="CN76" s="43"/>
      <c r="CO76" s="43"/>
      <c r="CP76" s="43">
        <v>9965.28</v>
      </c>
      <c r="CQ76" s="43">
        <v>9965.28</v>
      </c>
      <c r="CR76" s="43">
        <v>9555.37</v>
      </c>
      <c r="CS76" s="43">
        <v>9555.37</v>
      </c>
      <c r="CT76" s="43"/>
      <c r="CU76" s="45"/>
      <c r="CV76" s="45"/>
      <c r="CW76" s="43"/>
      <c r="CX76" s="43"/>
      <c r="CY76" s="43"/>
      <c r="CZ76" s="39">
        <v>242.424</v>
      </c>
      <c r="DA76" s="39">
        <v>189.9981</v>
      </c>
      <c r="DB76" s="43"/>
      <c r="DC76" s="43"/>
      <c r="DD76" s="43"/>
      <c r="DE76" s="43"/>
      <c r="DF76" s="39">
        <f t="shared" si="11"/>
        <v>19763.074</v>
      </c>
      <c r="DG76" s="39">
        <f t="shared" si="44"/>
        <v>19710.648100000002</v>
      </c>
      <c r="DH76" s="39">
        <v>1066.41</v>
      </c>
      <c r="DI76" s="39">
        <v>1066.41</v>
      </c>
      <c r="DJ76" s="39">
        <v>1066.41</v>
      </c>
      <c r="DK76" s="39">
        <f t="shared" si="13"/>
        <v>1066.41</v>
      </c>
      <c r="DL76" s="39"/>
      <c r="DM76" s="39"/>
      <c r="DN76" s="43"/>
      <c r="DO76" s="43"/>
      <c r="DP76" s="39">
        <f t="shared" si="14"/>
        <v>0</v>
      </c>
      <c r="DQ76" s="39">
        <f t="shared" si="15"/>
        <v>0</v>
      </c>
      <c r="DR76" s="39">
        <v>10</v>
      </c>
      <c r="DS76" s="39">
        <v>10</v>
      </c>
      <c r="DT76" s="43">
        <v>20</v>
      </c>
      <c r="DU76" s="43">
        <v>20</v>
      </c>
      <c r="DV76" s="43"/>
      <c r="DW76" s="43"/>
      <c r="DX76" s="43"/>
      <c r="DY76" s="43"/>
      <c r="DZ76" s="39"/>
      <c r="EA76" s="39"/>
      <c r="EB76" s="43"/>
      <c r="EC76" s="43"/>
      <c r="ED76" s="43">
        <v>350</v>
      </c>
      <c r="EE76" s="43">
        <v>350</v>
      </c>
      <c r="EF76" s="39">
        <v>1522</v>
      </c>
      <c r="EG76" s="43">
        <v>1522</v>
      </c>
      <c r="EH76" s="43">
        <v>10505.3</v>
      </c>
      <c r="EI76" s="39">
        <v>10505.3</v>
      </c>
      <c r="EJ76" s="39">
        <v>1474</v>
      </c>
      <c r="EK76" s="43">
        <v>1474</v>
      </c>
      <c r="EL76" s="43"/>
      <c r="EM76" s="43"/>
      <c r="EN76" s="45"/>
      <c r="EO76" s="45"/>
      <c r="EP76" s="43"/>
      <c r="EQ76" s="43"/>
      <c r="ER76" s="43"/>
      <c r="ES76" s="43"/>
      <c r="ET76" s="135"/>
      <c r="EU76" s="135"/>
      <c r="EV76" s="135"/>
      <c r="EW76" s="135"/>
      <c r="EX76" s="43">
        <v>200</v>
      </c>
      <c r="EY76" s="43">
        <v>200</v>
      </c>
      <c r="EZ76" s="43">
        <v>50</v>
      </c>
      <c r="FA76" s="43">
        <v>50</v>
      </c>
      <c r="FB76" s="37">
        <f t="shared" si="16"/>
        <v>14131.3</v>
      </c>
      <c r="FC76" s="37">
        <f t="shared" si="45"/>
        <v>14131.3</v>
      </c>
      <c r="FD76" s="39">
        <v>175</v>
      </c>
      <c r="FE76" s="39">
        <v>175</v>
      </c>
      <c r="FF76" s="43">
        <v>9.21</v>
      </c>
      <c r="FG76" s="43">
        <v>9.21</v>
      </c>
      <c r="FH76" s="132">
        <f t="shared" si="18"/>
        <v>184.21</v>
      </c>
      <c r="FI76" s="132">
        <f t="shared" si="19"/>
        <v>184.21</v>
      </c>
      <c r="FJ76" s="39"/>
      <c r="FK76" s="39"/>
      <c r="FL76" s="43"/>
      <c r="FM76" s="43"/>
      <c r="FN76" s="43"/>
      <c r="FO76" s="43"/>
      <c r="FP76" s="43"/>
      <c r="FQ76" s="43"/>
      <c r="FR76" s="39">
        <v>3237.2</v>
      </c>
      <c r="FS76" s="135">
        <v>2807.705</v>
      </c>
      <c r="FT76" s="43">
        <v>1867</v>
      </c>
      <c r="FU76" s="43">
        <v>1867</v>
      </c>
      <c r="FV76" s="43">
        <v>809</v>
      </c>
      <c r="FW76" s="43">
        <v>809</v>
      </c>
      <c r="FX76" s="43">
        <v>16532</v>
      </c>
      <c r="FY76" s="43">
        <v>16532</v>
      </c>
      <c r="FZ76" s="43">
        <v>2999</v>
      </c>
      <c r="GA76" s="43">
        <v>2999</v>
      </c>
      <c r="GB76" s="43"/>
      <c r="GC76" s="43"/>
      <c r="GD76" s="135">
        <f>1710+4044.06+6443.14</f>
        <v>12197.2</v>
      </c>
      <c r="GE76" s="135">
        <f>1710+4044.06</f>
        <v>5754.0599999999995</v>
      </c>
      <c r="GF76" s="43">
        <v>1475.9</v>
      </c>
      <c r="GG76" s="43">
        <v>1475.9</v>
      </c>
      <c r="GH76" s="43">
        <v>631.9</v>
      </c>
      <c r="GI76" s="43">
        <v>631.9</v>
      </c>
      <c r="GJ76" s="43">
        <v>60133.7</v>
      </c>
      <c r="GK76" s="43">
        <v>60133.7</v>
      </c>
      <c r="GL76" s="43">
        <v>100687.9</v>
      </c>
      <c r="GM76" s="43">
        <v>100687.9</v>
      </c>
      <c r="GN76" s="43"/>
      <c r="GO76" s="43"/>
      <c r="GP76" s="43">
        <v>4792</v>
      </c>
      <c r="GQ76" s="43">
        <v>4792</v>
      </c>
      <c r="GR76" s="43">
        <v>1004</v>
      </c>
      <c r="GS76" s="43">
        <v>1004</v>
      </c>
      <c r="GT76" s="43">
        <v>295</v>
      </c>
      <c r="GU76" s="43">
        <v>295</v>
      </c>
      <c r="GV76" s="43">
        <v>13763</v>
      </c>
      <c r="GW76" s="43">
        <v>13763</v>
      </c>
      <c r="GX76" s="45">
        <v>1811.5</v>
      </c>
      <c r="GY76" s="45">
        <v>1811.5</v>
      </c>
      <c r="GZ76" s="43">
        <v>50</v>
      </c>
      <c r="HA76" s="43">
        <v>50</v>
      </c>
      <c r="HB76" s="43">
        <v>93.3</v>
      </c>
      <c r="HC76" s="43">
        <v>93.3</v>
      </c>
      <c r="HD76" s="39">
        <f t="shared" si="20"/>
        <v>222379.59999999998</v>
      </c>
      <c r="HE76" s="39">
        <f t="shared" si="46"/>
        <v>215506.96499999997</v>
      </c>
      <c r="HF76" s="39"/>
      <c r="HG76" s="39"/>
      <c r="HH76" s="39"/>
      <c r="HI76" s="43"/>
      <c r="HJ76" s="43"/>
      <c r="HK76" s="43"/>
      <c r="HL76" s="43"/>
      <c r="HM76" s="43"/>
      <c r="HN76" s="126"/>
      <c r="HO76" s="126"/>
      <c r="HP76" s="39">
        <f t="shared" si="22"/>
        <v>0</v>
      </c>
      <c r="HQ76" s="39">
        <f t="shared" si="47"/>
        <v>0</v>
      </c>
      <c r="HR76" s="39"/>
      <c r="HS76" s="39"/>
      <c r="HT76" s="39">
        <v>302</v>
      </c>
      <c r="HU76" s="43">
        <v>302</v>
      </c>
      <c r="HV76" s="39"/>
      <c r="HW76" s="39"/>
      <c r="HX76" s="39">
        <f t="shared" si="24"/>
        <v>302</v>
      </c>
      <c r="HY76" s="39">
        <f t="shared" si="48"/>
        <v>302</v>
      </c>
    </row>
    <row r="77" spans="1:233" ht="12.75">
      <c r="A77" s="14" t="s">
        <v>212</v>
      </c>
      <c r="B77" s="34"/>
      <c r="C77" s="34"/>
      <c r="D77" s="39">
        <f>118+118+117+98+98+98+98+98+98+78.7+78.7+78.6</f>
        <v>1177</v>
      </c>
      <c r="E77" s="39">
        <f>118+118+117+98+98+98+98+98+98+78.7+78.7+78.6</f>
        <v>1177</v>
      </c>
      <c r="F77" s="34"/>
      <c r="G77" s="34"/>
      <c r="H77" s="34"/>
      <c r="I77" s="34"/>
      <c r="J77" s="34"/>
      <c r="K77" s="34"/>
      <c r="L77" s="34"/>
      <c r="M77" s="34"/>
      <c r="N77" s="34"/>
      <c r="O77" s="34"/>
      <c r="P77" s="34"/>
      <c r="Q77" s="34"/>
      <c r="R77" s="39"/>
      <c r="S77" s="39"/>
      <c r="T77" s="39">
        <v>700</v>
      </c>
      <c r="U77" s="39">
        <v>700</v>
      </c>
      <c r="V77" s="39"/>
      <c r="W77" s="34"/>
      <c r="X77" s="34"/>
      <c r="Y77" s="34"/>
      <c r="Z77" s="34"/>
      <c r="AA77" s="34"/>
      <c r="AB77" s="34"/>
      <c r="AC77" s="34"/>
      <c r="AD77" s="34"/>
      <c r="AE77" s="34"/>
      <c r="AF77" s="39">
        <v>147</v>
      </c>
      <c r="AG77" s="48">
        <f>12.3+12.3+12.3+12.3+12.3+17.8+25.1+7.2+8+27.4</f>
        <v>147</v>
      </c>
      <c r="AH77" s="126">
        <f t="shared" si="5"/>
        <v>2024</v>
      </c>
      <c r="AI77" s="126">
        <f t="shared" si="42"/>
        <v>2024</v>
      </c>
      <c r="AJ77" s="43"/>
      <c r="AK77" s="43"/>
      <c r="AL77" s="134"/>
      <c r="AM77" s="41"/>
      <c r="AN77" s="41"/>
      <c r="AO77" s="41"/>
      <c r="AP77" s="41"/>
      <c r="AQ77" s="41"/>
      <c r="AR77" s="39"/>
      <c r="AS77" s="39"/>
      <c r="AT77" s="43"/>
      <c r="AU77" s="43"/>
      <c r="AV77" s="43"/>
      <c r="AW77" s="43"/>
      <c r="AX77" s="43"/>
      <c r="AY77" s="43"/>
      <c r="AZ77" s="39">
        <f t="shared" si="7"/>
        <v>0</v>
      </c>
      <c r="BA77" s="39">
        <f t="shared" si="8"/>
        <v>0</v>
      </c>
      <c r="BB77" s="39">
        <v>0</v>
      </c>
      <c r="BC77" s="39">
        <v>0</v>
      </c>
      <c r="BD77" s="39"/>
      <c r="BE77" s="43"/>
      <c r="BF77" s="43"/>
      <c r="BG77" s="43"/>
      <c r="BH77" s="43"/>
      <c r="BI77" s="43"/>
      <c r="BJ77" s="43"/>
      <c r="BK77" s="43"/>
      <c r="BL77" s="43"/>
      <c r="BM77" s="43"/>
      <c r="BN77" s="45"/>
      <c r="BO77" s="45"/>
      <c r="BP77" s="45"/>
      <c r="BQ77" s="45"/>
      <c r="BR77" s="43"/>
      <c r="BS77" s="43"/>
      <c r="BT77" s="43"/>
      <c r="BU77" s="43"/>
      <c r="BV77" s="45"/>
      <c r="BW77" s="45"/>
      <c r="BX77" s="43"/>
      <c r="BY77" s="45"/>
      <c r="BZ77" s="43"/>
      <c r="CA77" s="45"/>
      <c r="CB77" s="45"/>
      <c r="CC77" s="45"/>
      <c r="CD77" s="45"/>
      <c r="CE77" s="45"/>
      <c r="CF77" s="39">
        <f t="shared" si="9"/>
        <v>0</v>
      </c>
      <c r="CG77" s="39">
        <f t="shared" si="43"/>
        <v>0</v>
      </c>
      <c r="CH77" s="39"/>
      <c r="CI77" s="39"/>
      <c r="CJ77" s="39"/>
      <c r="CK77" s="45"/>
      <c r="CL77" s="45"/>
      <c r="CM77" s="43"/>
      <c r="CN77" s="43"/>
      <c r="CO77" s="43"/>
      <c r="CP77" s="43"/>
      <c r="CQ77" s="39"/>
      <c r="CR77" s="43"/>
      <c r="CS77" s="45"/>
      <c r="CT77" s="45"/>
      <c r="CU77" s="45"/>
      <c r="CV77" s="45"/>
      <c r="CW77" s="43"/>
      <c r="CX77" s="43"/>
      <c r="CY77" s="43"/>
      <c r="CZ77" s="39"/>
      <c r="DA77" s="45"/>
      <c r="DB77" s="43"/>
      <c r="DC77" s="43"/>
      <c r="DD77" s="43"/>
      <c r="DE77" s="43"/>
      <c r="DF77" s="39">
        <f t="shared" si="11"/>
        <v>0</v>
      </c>
      <c r="DG77" s="39">
        <f t="shared" si="44"/>
        <v>0</v>
      </c>
      <c r="DH77" s="39"/>
      <c r="DI77" s="39"/>
      <c r="DJ77" s="39">
        <v>0</v>
      </c>
      <c r="DK77" s="39">
        <f t="shared" si="13"/>
        <v>0</v>
      </c>
      <c r="DL77" s="39"/>
      <c r="DM77" s="39"/>
      <c r="DN77" s="43"/>
      <c r="DO77" s="43"/>
      <c r="DP77" s="39">
        <f t="shared" si="14"/>
        <v>0</v>
      </c>
      <c r="DQ77" s="39">
        <f t="shared" si="15"/>
        <v>0</v>
      </c>
      <c r="DR77" s="39"/>
      <c r="DS77" s="39"/>
      <c r="DT77" s="43"/>
      <c r="DU77" s="43"/>
      <c r="DV77" s="43"/>
      <c r="DW77" s="43"/>
      <c r="DX77" s="43"/>
      <c r="DY77" s="43"/>
      <c r="DZ77" s="39"/>
      <c r="EA77" s="39"/>
      <c r="EB77" s="43"/>
      <c r="EC77" s="43"/>
      <c r="ED77" s="43"/>
      <c r="EE77" s="43"/>
      <c r="EF77" s="39"/>
      <c r="EG77" s="43"/>
      <c r="EH77" s="43"/>
      <c r="EI77" s="45"/>
      <c r="EJ77" s="39"/>
      <c r="EK77" s="43"/>
      <c r="EL77" s="43"/>
      <c r="EM77" s="43"/>
      <c r="EN77" s="45"/>
      <c r="EO77" s="45"/>
      <c r="EP77" s="43"/>
      <c r="EQ77" s="43"/>
      <c r="ER77" s="43"/>
      <c r="ES77" s="43"/>
      <c r="ET77" s="135"/>
      <c r="EU77" s="135"/>
      <c r="EV77" s="135"/>
      <c r="EW77" s="135"/>
      <c r="EX77" s="43"/>
      <c r="EY77" s="43"/>
      <c r="EZ77" s="43"/>
      <c r="FA77" s="43"/>
      <c r="FB77" s="37">
        <f t="shared" si="16"/>
        <v>0</v>
      </c>
      <c r="FC77" s="37">
        <f t="shared" si="45"/>
        <v>0</v>
      </c>
      <c r="FD77" s="39"/>
      <c r="FE77" s="39"/>
      <c r="FF77" s="43"/>
      <c r="FG77" s="43"/>
      <c r="FH77" s="132">
        <f t="shared" si="18"/>
        <v>0</v>
      </c>
      <c r="FI77" s="132">
        <f t="shared" si="19"/>
        <v>0</v>
      </c>
      <c r="FJ77" s="39"/>
      <c r="FK77" s="39"/>
      <c r="FL77" s="43"/>
      <c r="FM77" s="43"/>
      <c r="FN77" s="43"/>
      <c r="FO77" s="43"/>
      <c r="FP77" s="43"/>
      <c r="FQ77" s="43"/>
      <c r="FR77" s="39"/>
      <c r="FS77" s="135"/>
      <c r="FT77" s="43"/>
      <c r="FU77" s="43"/>
      <c r="FV77" s="43"/>
      <c r="FW77" s="43"/>
      <c r="FX77" s="43"/>
      <c r="FY77" s="43"/>
      <c r="FZ77" s="43"/>
      <c r="GA77" s="43"/>
      <c r="GB77" s="43"/>
      <c r="GC77" s="43"/>
      <c r="GD77" s="135"/>
      <c r="GE77" s="135"/>
      <c r="GF77" s="43"/>
      <c r="GG77" s="43"/>
      <c r="GH77" s="43"/>
      <c r="GI77" s="43"/>
      <c r="GJ77" s="43"/>
      <c r="GK77" s="43"/>
      <c r="GL77" s="43"/>
      <c r="GM77" s="43"/>
      <c r="GN77" s="43"/>
      <c r="GO77" s="43"/>
      <c r="GP77" s="43"/>
      <c r="GQ77" s="43"/>
      <c r="GR77" s="43"/>
      <c r="GS77" s="43"/>
      <c r="GT77" s="43"/>
      <c r="GU77" s="43"/>
      <c r="GV77" s="43"/>
      <c r="GW77" s="43"/>
      <c r="GX77" s="45"/>
      <c r="GY77" s="45"/>
      <c r="GZ77" s="43"/>
      <c r="HA77" s="43"/>
      <c r="HB77" s="43"/>
      <c r="HC77" s="43"/>
      <c r="HD77" s="39">
        <f t="shared" si="20"/>
        <v>0</v>
      </c>
      <c r="HE77" s="39">
        <f t="shared" si="46"/>
        <v>0</v>
      </c>
      <c r="HF77" s="39"/>
      <c r="HG77" s="39"/>
      <c r="HH77" s="39"/>
      <c r="HI77" s="43"/>
      <c r="HJ77" s="43"/>
      <c r="HK77" s="43"/>
      <c r="HL77" s="43"/>
      <c r="HM77" s="43"/>
      <c r="HN77" s="136"/>
      <c r="HO77" s="136"/>
      <c r="HP77" s="39">
        <f t="shared" si="22"/>
        <v>0</v>
      </c>
      <c r="HQ77" s="39">
        <f t="shared" si="47"/>
        <v>0</v>
      </c>
      <c r="HR77" s="39"/>
      <c r="HS77" s="39"/>
      <c r="HT77" s="39"/>
      <c r="HU77" s="43"/>
      <c r="HV77" s="39"/>
      <c r="HW77" s="39"/>
      <c r="HX77" s="39">
        <f t="shared" si="24"/>
        <v>0</v>
      </c>
      <c r="HY77" s="39">
        <f t="shared" si="48"/>
        <v>0</v>
      </c>
    </row>
    <row r="78" spans="1:233" ht="12.75" customHeight="1">
      <c r="A78" s="14" t="s">
        <v>248</v>
      </c>
      <c r="B78" s="34"/>
      <c r="C78" s="34"/>
      <c r="D78" s="39">
        <f>473+473+474+395+395+394+710+710+710</f>
        <v>4734</v>
      </c>
      <c r="E78" s="39">
        <f>473+473+474+395+395+394+710+710+710</f>
        <v>4734</v>
      </c>
      <c r="F78" s="34"/>
      <c r="G78" s="34"/>
      <c r="H78" s="34"/>
      <c r="I78" s="34"/>
      <c r="J78" s="34"/>
      <c r="K78" s="34"/>
      <c r="L78" s="34"/>
      <c r="M78" s="34"/>
      <c r="N78" s="34"/>
      <c r="O78" s="34"/>
      <c r="P78" s="51"/>
      <c r="Q78" s="51"/>
      <c r="R78" s="39"/>
      <c r="S78" s="39"/>
      <c r="T78" s="39"/>
      <c r="U78" s="39"/>
      <c r="V78" s="39"/>
      <c r="W78" s="34"/>
      <c r="X78" s="34"/>
      <c r="Y78" s="34"/>
      <c r="Z78" s="51"/>
      <c r="AA78" s="51"/>
      <c r="AB78" s="34"/>
      <c r="AC78" s="34"/>
      <c r="AD78" s="34"/>
      <c r="AE78" s="34"/>
      <c r="AF78" s="39">
        <v>147</v>
      </c>
      <c r="AG78" s="48">
        <f>12.3+12.3+12.3+12.3+12.3+15.9+16+15.6+10+10+3.93623+14.06377</f>
        <v>147</v>
      </c>
      <c r="AH78" s="126">
        <f t="shared" si="5"/>
        <v>4881</v>
      </c>
      <c r="AI78" s="126">
        <f t="shared" si="42"/>
        <v>4881</v>
      </c>
      <c r="AJ78" s="43"/>
      <c r="AK78" s="43"/>
      <c r="AL78" s="134"/>
      <c r="AM78" s="41"/>
      <c r="AN78" s="41"/>
      <c r="AO78" s="41"/>
      <c r="AP78" s="41"/>
      <c r="AQ78" s="41"/>
      <c r="AR78" s="39"/>
      <c r="AS78" s="39"/>
      <c r="AT78" s="43"/>
      <c r="AU78" s="43"/>
      <c r="AV78" s="43"/>
      <c r="AW78" s="43"/>
      <c r="AX78" s="43"/>
      <c r="AY78" s="43"/>
      <c r="AZ78" s="39">
        <f t="shared" si="7"/>
        <v>0</v>
      </c>
      <c r="BA78" s="39">
        <f aca="true" t="shared" si="61" ref="BA78:BA141">AK78+AM78+AO78+AQ78+AS78+AU78+AW78+AY78</f>
        <v>0</v>
      </c>
      <c r="BB78" s="39">
        <v>0</v>
      </c>
      <c r="BC78" s="39">
        <v>0</v>
      </c>
      <c r="BD78" s="39"/>
      <c r="BE78" s="43"/>
      <c r="BF78" s="43"/>
      <c r="BG78" s="43"/>
      <c r="BH78" s="43"/>
      <c r="BI78" s="43"/>
      <c r="BJ78" s="43"/>
      <c r="BK78" s="43"/>
      <c r="BL78" s="43"/>
      <c r="BM78" s="43"/>
      <c r="BN78" s="45"/>
      <c r="BO78" s="45"/>
      <c r="BP78" s="45"/>
      <c r="BQ78" s="45"/>
      <c r="BR78" s="43"/>
      <c r="BS78" s="43"/>
      <c r="BT78" s="43"/>
      <c r="BU78" s="43"/>
      <c r="BV78" s="45"/>
      <c r="BW78" s="45"/>
      <c r="BX78" s="43"/>
      <c r="BY78" s="45"/>
      <c r="BZ78" s="43"/>
      <c r="CA78" s="45"/>
      <c r="CB78" s="45"/>
      <c r="CC78" s="45"/>
      <c r="CD78" s="45"/>
      <c r="CE78" s="45"/>
      <c r="CF78" s="39">
        <f t="shared" si="9"/>
        <v>0</v>
      </c>
      <c r="CG78" s="39">
        <f t="shared" si="43"/>
        <v>0</v>
      </c>
      <c r="CH78" s="39">
        <v>4775.07492</v>
      </c>
      <c r="CI78" s="39">
        <v>4775.07492</v>
      </c>
      <c r="CJ78" s="39">
        <v>5319.26162</v>
      </c>
      <c r="CK78" s="43">
        <v>3109.85647</v>
      </c>
      <c r="CL78" s="43"/>
      <c r="CM78" s="43"/>
      <c r="CN78" s="43"/>
      <c r="CO78" s="43"/>
      <c r="CP78" s="43"/>
      <c r="CQ78" s="39"/>
      <c r="CR78" s="43"/>
      <c r="CS78" s="45"/>
      <c r="CT78" s="45"/>
      <c r="CU78" s="45"/>
      <c r="CV78" s="45"/>
      <c r="CW78" s="43"/>
      <c r="CX78" s="43"/>
      <c r="CY78" s="43"/>
      <c r="CZ78" s="39"/>
      <c r="DA78" s="45"/>
      <c r="DB78" s="43"/>
      <c r="DC78" s="43"/>
      <c r="DD78" s="43"/>
      <c r="DE78" s="43"/>
      <c r="DF78" s="39">
        <f t="shared" si="11"/>
        <v>10094.33654</v>
      </c>
      <c r="DG78" s="39">
        <f t="shared" si="44"/>
        <v>7884.93139</v>
      </c>
      <c r="DH78" s="39"/>
      <c r="DI78" s="39"/>
      <c r="DJ78" s="39">
        <v>0</v>
      </c>
      <c r="DK78" s="39">
        <f aca="true" t="shared" si="62" ref="DK78:DK141">DI78</f>
        <v>0</v>
      </c>
      <c r="DL78" s="39"/>
      <c r="DM78" s="39"/>
      <c r="DN78" s="43"/>
      <c r="DO78" s="43"/>
      <c r="DP78" s="39">
        <f t="shared" si="14"/>
        <v>0</v>
      </c>
      <c r="DQ78" s="39">
        <f aca="true" t="shared" si="63" ref="DQ78:DQ141">DM78+DO78</f>
        <v>0</v>
      </c>
      <c r="DR78" s="39"/>
      <c r="DS78" s="39"/>
      <c r="DT78" s="43"/>
      <c r="DU78" s="43"/>
      <c r="DV78" s="43"/>
      <c r="DW78" s="43"/>
      <c r="DX78" s="43"/>
      <c r="DY78" s="43"/>
      <c r="DZ78" s="39"/>
      <c r="EA78" s="39"/>
      <c r="EB78" s="43"/>
      <c r="EC78" s="43"/>
      <c r="ED78" s="43"/>
      <c r="EE78" s="43"/>
      <c r="EF78" s="39"/>
      <c r="EG78" s="43"/>
      <c r="EH78" s="43"/>
      <c r="EI78" s="45"/>
      <c r="EJ78" s="39"/>
      <c r="EK78" s="43"/>
      <c r="EL78" s="43"/>
      <c r="EM78" s="43"/>
      <c r="EN78" s="45"/>
      <c r="EO78" s="45"/>
      <c r="EP78" s="43"/>
      <c r="EQ78" s="43"/>
      <c r="ER78" s="43"/>
      <c r="ES78" s="43"/>
      <c r="ET78" s="135"/>
      <c r="EU78" s="135"/>
      <c r="EV78" s="135"/>
      <c r="EW78" s="135"/>
      <c r="EX78" s="43"/>
      <c r="EY78" s="43"/>
      <c r="EZ78" s="43"/>
      <c r="FA78" s="43"/>
      <c r="FB78" s="37">
        <f t="shared" si="16"/>
        <v>0</v>
      </c>
      <c r="FC78" s="37">
        <f t="shared" si="45"/>
        <v>0</v>
      </c>
      <c r="FD78" s="39"/>
      <c r="FE78" s="39"/>
      <c r="FF78" s="43"/>
      <c r="FG78" s="43"/>
      <c r="FH78" s="132">
        <f t="shared" si="18"/>
        <v>0</v>
      </c>
      <c r="FI78" s="132">
        <f aca="true" t="shared" si="64" ref="FI78:FI141">FE78+FG78</f>
        <v>0</v>
      </c>
      <c r="FJ78" s="39"/>
      <c r="FK78" s="39"/>
      <c r="FL78" s="43"/>
      <c r="FM78" s="43"/>
      <c r="FN78" s="43"/>
      <c r="FO78" s="43"/>
      <c r="FP78" s="43"/>
      <c r="FQ78" s="43"/>
      <c r="FR78" s="39"/>
      <c r="FS78" s="135"/>
      <c r="FT78" s="43"/>
      <c r="FU78" s="43"/>
      <c r="FV78" s="43"/>
      <c r="FW78" s="43"/>
      <c r="FX78" s="43"/>
      <c r="FY78" s="43"/>
      <c r="FZ78" s="43"/>
      <c r="GA78" s="43"/>
      <c r="GB78" s="43"/>
      <c r="GC78" s="43"/>
      <c r="GD78" s="135"/>
      <c r="GE78" s="135"/>
      <c r="GF78" s="43"/>
      <c r="GG78" s="43"/>
      <c r="GH78" s="43"/>
      <c r="GI78" s="43"/>
      <c r="GJ78" s="43"/>
      <c r="GK78" s="43"/>
      <c r="GL78" s="43"/>
      <c r="GM78" s="43"/>
      <c r="GN78" s="43"/>
      <c r="GO78" s="43"/>
      <c r="GP78" s="43"/>
      <c r="GQ78" s="43"/>
      <c r="GR78" s="43"/>
      <c r="GS78" s="43"/>
      <c r="GT78" s="43"/>
      <c r="GU78" s="43"/>
      <c r="GV78" s="43"/>
      <c r="GW78" s="43"/>
      <c r="GX78" s="45"/>
      <c r="GY78" s="45"/>
      <c r="GZ78" s="43"/>
      <c r="HA78" s="43"/>
      <c r="HB78" s="43"/>
      <c r="HC78" s="43"/>
      <c r="HD78" s="39">
        <f t="shared" si="20"/>
        <v>0</v>
      </c>
      <c r="HE78" s="39">
        <f t="shared" si="46"/>
        <v>0</v>
      </c>
      <c r="HF78" s="39"/>
      <c r="HG78" s="39"/>
      <c r="HH78" s="39"/>
      <c r="HI78" s="43"/>
      <c r="HJ78" s="43"/>
      <c r="HK78" s="43"/>
      <c r="HL78" s="43"/>
      <c r="HM78" s="43"/>
      <c r="HN78" s="136"/>
      <c r="HO78" s="136"/>
      <c r="HP78" s="39">
        <f t="shared" si="22"/>
        <v>0</v>
      </c>
      <c r="HQ78" s="39">
        <f t="shared" si="47"/>
        <v>0</v>
      </c>
      <c r="HR78" s="39"/>
      <c r="HS78" s="39"/>
      <c r="HT78" s="39"/>
      <c r="HU78" s="43"/>
      <c r="HV78" s="39"/>
      <c r="HW78" s="39"/>
      <c r="HX78" s="39">
        <f t="shared" si="24"/>
        <v>0</v>
      </c>
      <c r="HY78" s="39">
        <f t="shared" si="48"/>
        <v>0</v>
      </c>
    </row>
    <row r="79" spans="1:233" ht="12.75">
      <c r="A79" s="14" t="s">
        <v>249</v>
      </c>
      <c r="B79" s="34"/>
      <c r="C79" s="34"/>
      <c r="D79" s="39">
        <f>485+485+486+405+405+404+405+405+404+323.7+323.7+323.6</f>
        <v>4855</v>
      </c>
      <c r="E79" s="39">
        <f>485+485+486+405+405+404+405+405+404+323.7+323.7+323.6</f>
        <v>4855</v>
      </c>
      <c r="F79" s="34"/>
      <c r="G79" s="34"/>
      <c r="H79" s="34"/>
      <c r="I79" s="34"/>
      <c r="J79" s="34"/>
      <c r="K79" s="34"/>
      <c r="L79" s="34"/>
      <c r="M79" s="34"/>
      <c r="N79" s="34"/>
      <c r="O79" s="34"/>
      <c r="P79" s="51"/>
      <c r="Q79" s="51"/>
      <c r="R79" s="39"/>
      <c r="S79" s="39"/>
      <c r="T79" s="39"/>
      <c r="U79" s="39"/>
      <c r="V79" s="39"/>
      <c r="W79" s="34"/>
      <c r="X79" s="34"/>
      <c r="Y79" s="34"/>
      <c r="Z79" s="51"/>
      <c r="AA79" s="51"/>
      <c r="AB79" s="34"/>
      <c r="AC79" s="34"/>
      <c r="AD79" s="34"/>
      <c r="AE79" s="34"/>
      <c r="AF79" s="39">
        <v>147</v>
      </c>
      <c r="AG79" s="48">
        <f>12.3+12.3+12.3+12.3+12.3+3.1+9.4+29+10+10+24</f>
        <v>147</v>
      </c>
      <c r="AH79" s="126">
        <f aca="true" t="shared" si="65" ref="AH79:AH142">B79+D79+F79+H79+J79+L79+N79+P79+R79+T79+V79+X79+Z79+AB79+AD79+AF79</f>
        <v>5002</v>
      </c>
      <c r="AI79" s="126">
        <f aca="true" t="shared" si="66" ref="AI79:AI110">C79+E79+G79+I79+K79+M79+O79+Q79+S79+U79+W79+Y79+AA79+AC79+AE79+AG79</f>
        <v>5002</v>
      </c>
      <c r="AJ79" s="43"/>
      <c r="AK79" s="43"/>
      <c r="AL79" s="134"/>
      <c r="AM79" s="41"/>
      <c r="AN79" s="41"/>
      <c r="AO79" s="41"/>
      <c r="AP79" s="41"/>
      <c r="AQ79" s="41"/>
      <c r="AR79" s="39"/>
      <c r="AS79" s="39"/>
      <c r="AT79" s="43"/>
      <c r="AU79" s="43"/>
      <c r="AV79" s="43"/>
      <c r="AW79" s="43"/>
      <c r="AX79" s="43"/>
      <c r="AY79" s="43"/>
      <c r="AZ79" s="39">
        <f aca="true" t="shared" si="67" ref="AZ79:AZ142">AJ79+AL79+AN79+AP79+AR79+AT79+AV79+AX79</f>
        <v>0</v>
      </c>
      <c r="BA79" s="39">
        <f t="shared" si="61"/>
        <v>0</v>
      </c>
      <c r="BB79" s="39">
        <v>0</v>
      </c>
      <c r="BC79" s="39">
        <v>0</v>
      </c>
      <c r="BD79" s="39"/>
      <c r="BE79" s="43"/>
      <c r="BF79" s="43"/>
      <c r="BG79" s="43"/>
      <c r="BH79" s="43"/>
      <c r="BI79" s="43"/>
      <c r="BJ79" s="43"/>
      <c r="BK79" s="43"/>
      <c r="BL79" s="43"/>
      <c r="BM79" s="43"/>
      <c r="BN79" s="45"/>
      <c r="BO79" s="45"/>
      <c r="BP79" s="45"/>
      <c r="BQ79" s="45"/>
      <c r="BR79" s="43"/>
      <c r="BS79" s="43"/>
      <c r="BT79" s="43"/>
      <c r="BU79" s="43"/>
      <c r="BV79" s="45"/>
      <c r="BW79" s="45"/>
      <c r="BX79" s="43"/>
      <c r="BY79" s="45"/>
      <c r="BZ79" s="43"/>
      <c r="CA79" s="45"/>
      <c r="CB79" s="45"/>
      <c r="CC79" s="45"/>
      <c r="CD79" s="45"/>
      <c r="CE79" s="45"/>
      <c r="CF79" s="39">
        <f aca="true" t="shared" si="68" ref="CF79:CF142">BD79+BF79+BH79+BJ79+BL79+BN79+BP79+BR79+BT79+BV79+BX79+CB79+CD79+BZ79</f>
        <v>0</v>
      </c>
      <c r="CG79" s="39">
        <f aca="true" t="shared" si="69" ref="CG79:CG110">BE79+BG79+BI79+BK79+BM79+BO79+BQ79+BS79+BU79+BW79+BY79+CC79+CE79+CA79</f>
        <v>0</v>
      </c>
      <c r="CH79" s="39"/>
      <c r="CI79" s="39"/>
      <c r="CJ79" s="39"/>
      <c r="CK79" s="45"/>
      <c r="CL79" s="45"/>
      <c r="CM79" s="43"/>
      <c r="CN79" s="43"/>
      <c r="CO79" s="43"/>
      <c r="CP79" s="43"/>
      <c r="CQ79" s="39"/>
      <c r="CR79" s="43"/>
      <c r="CS79" s="45"/>
      <c r="CT79" s="45"/>
      <c r="CU79" s="45"/>
      <c r="CV79" s="45"/>
      <c r="CW79" s="43"/>
      <c r="CX79" s="43"/>
      <c r="CY79" s="43"/>
      <c r="CZ79" s="39"/>
      <c r="DA79" s="45"/>
      <c r="DB79" s="43"/>
      <c r="DC79" s="43"/>
      <c r="DD79" s="43"/>
      <c r="DE79" s="43"/>
      <c r="DF79" s="39">
        <f aca="true" t="shared" si="70" ref="DF79:DF142">CH79+CJ79+CL79+CN79+CP79+CX79+CZ79+CR79+CT79+CV79+DD79+DB79</f>
        <v>0</v>
      </c>
      <c r="DG79" s="39">
        <f aca="true" t="shared" si="71" ref="DG79:DG110">CI79+CK79+CM79+CO79+CQ79+CY79+DA79+CS79+CU79+CW79+DE79+DC79</f>
        <v>0</v>
      </c>
      <c r="DH79" s="39"/>
      <c r="DI79" s="39"/>
      <c r="DJ79" s="39">
        <v>0</v>
      </c>
      <c r="DK79" s="39">
        <f t="shared" si="62"/>
        <v>0</v>
      </c>
      <c r="DL79" s="39"/>
      <c r="DM79" s="39"/>
      <c r="DN79" s="43"/>
      <c r="DO79" s="43"/>
      <c r="DP79" s="39">
        <f aca="true" t="shared" si="72" ref="DP79:DP142">DL79+DN79</f>
        <v>0</v>
      </c>
      <c r="DQ79" s="39">
        <f t="shared" si="63"/>
        <v>0</v>
      </c>
      <c r="DR79" s="39"/>
      <c r="DS79" s="39"/>
      <c r="DT79" s="43"/>
      <c r="DU79" s="43"/>
      <c r="DV79" s="43"/>
      <c r="DW79" s="43"/>
      <c r="DX79" s="43"/>
      <c r="DY79" s="43"/>
      <c r="DZ79" s="39"/>
      <c r="EA79" s="39"/>
      <c r="EB79" s="43"/>
      <c r="EC79" s="43"/>
      <c r="ED79" s="43"/>
      <c r="EE79" s="43"/>
      <c r="EF79" s="39"/>
      <c r="EG79" s="43"/>
      <c r="EH79" s="43"/>
      <c r="EI79" s="45"/>
      <c r="EJ79" s="39"/>
      <c r="EK79" s="43"/>
      <c r="EL79" s="43"/>
      <c r="EM79" s="43"/>
      <c r="EN79" s="45"/>
      <c r="EO79" s="45"/>
      <c r="EP79" s="43"/>
      <c r="EQ79" s="43"/>
      <c r="ER79" s="43"/>
      <c r="ES79" s="43"/>
      <c r="ET79" s="135"/>
      <c r="EU79" s="135"/>
      <c r="EV79" s="135"/>
      <c r="EW79" s="135"/>
      <c r="EX79" s="43"/>
      <c r="EY79" s="43"/>
      <c r="EZ79" s="43"/>
      <c r="FA79" s="43"/>
      <c r="FB79" s="37">
        <f aca="true" t="shared" si="73" ref="FB79:FB142">DR79+DT79+DX79+EB79+DV79+EJ79+EL79+DZ79+ED79+EF79+EH79+EN79+EP79+ER79+ET79+EV79+EX79+EZ79</f>
        <v>0</v>
      </c>
      <c r="FC79" s="37">
        <f aca="true" t="shared" si="74" ref="FC79:FC110">DS79+DU79+DY79+EC79+DW79+EK79+EM79+EA79+EE79+EG79+EI79+EO79+EQ79+ES79+EU79+EW79+EY79+FA79</f>
        <v>0</v>
      </c>
      <c r="FD79" s="39"/>
      <c r="FE79" s="39"/>
      <c r="FF79" s="43"/>
      <c r="FG79" s="43"/>
      <c r="FH79" s="132">
        <f aca="true" t="shared" si="75" ref="FH79:FH142">FD79+FF79</f>
        <v>0</v>
      </c>
      <c r="FI79" s="132">
        <f t="shared" si="64"/>
        <v>0</v>
      </c>
      <c r="FJ79" s="39"/>
      <c r="FK79" s="39"/>
      <c r="FL79" s="43"/>
      <c r="FM79" s="43"/>
      <c r="FN79" s="43"/>
      <c r="FO79" s="43"/>
      <c r="FP79" s="43"/>
      <c r="FQ79" s="43"/>
      <c r="FR79" s="39"/>
      <c r="FS79" s="135"/>
      <c r="FT79" s="43"/>
      <c r="FU79" s="43"/>
      <c r="FV79" s="43"/>
      <c r="FW79" s="43"/>
      <c r="FX79" s="43"/>
      <c r="FY79" s="43"/>
      <c r="FZ79" s="43"/>
      <c r="GA79" s="43"/>
      <c r="GB79" s="43"/>
      <c r="GC79" s="43"/>
      <c r="GD79" s="135"/>
      <c r="GE79" s="135"/>
      <c r="GF79" s="43"/>
      <c r="GG79" s="43"/>
      <c r="GH79" s="43"/>
      <c r="GI79" s="43"/>
      <c r="GJ79" s="43"/>
      <c r="GK79" s="43"/>
      <c r="GL79" s="43"/>
      <c r="GM79" s="43"/>
      <c r="GN79" s="43"/>
      <c r="GO79" s="43"/>
      <c r="GP79" s="43"/>
      <c r="GQ79" s="43"/>
      <c r="GR79" s="43"/>
      <c r="GS79" s="43"/>
      <c r="GT79" s="43"/>
      <c r="GU79" s="43"/>
      <c r="GV79" s="43"/>
      <c r="GW79" s="43"/>
      <c r="GX79" s="45"/>
      <c r="GY79" s="45"/>
      <c r="GZ79" s="43"/>
      <c r="HA79" s="43"/>
      <c r="HB79" s="43"/>
      <c r="HC79" s="43"/>
      <c r="HD79" s="39">
        <f aca="true" t="shared" si="76" ref="HD79:HD142">FJ79+FL79+FN79+FP79+FR79+FT79+FV79+FX79+FZ79+GB79+GD79+GF79+GH79+GJ79+GP79+GR79+GV79+GN79+GT79+GL79+GX79+GZ79+HB79</f>
        <v>0</v>
      </c>
      <c r="HE79" s="39">
        <f aca="true" t="shared" si="77" ref="HE79:HE110">FK79+FM79+FO79+FQ79+FS79+FU79+FW79+FY79+GA79+GC79+GE79+GG79+GI79+GK79+GQ79+GS79+GW79+GO79+GU79+GM79+GY79+HA79+HC79</f>
        <v>0</v>
      </c>
      <c r="HF79" s="39"/>
      <c r="HG79" s="39"/>
      <c r="HH79" s="39"/>
      <c r="HI79" s="43"/>
      <c r="HJ79" s="43"/>
      <c r="HK79" s="43"/>
      <c r="HL79" s="43"/>
      <c r="HM79" s="43"/>
      <c r="HN79" s="136"/>
      <c r="HO79" s="136"/>
      <c r="HP79" s="39">
        <f aca="true" t="shared" si="78" ref="HP79:HP142">HF79+HH79+HJ79+HL79+HN79</f>
        <v>0</v>
      </c>
      <c r="HQ79" s="39">
        <f aca="true" t="shared" si="79" ref="HQ79:HQ110">HG79+HI79+HK79+HM79+HO79</f>
        <v>0</v>
      </c>
      <c r="HR79" s="39"/>
      <c r="HS79" s="39"/>
      <c r="HT79" s="39"/>
      <c r="HU79" s="43"/>
      <c r="HV79" s="39"/>
      <c r="HW79" s="39"/>
      <c r="HX79" s="39">
        <f aca="true" t="shared" si="80" ref="HX79:HX142">HR79+HT79+HV79</f>
        <v>0</v>
      </c>
      <c r="HY79" s="39">
        <f aca="true" t="shared" si="81" ref="HY79:HY110">HS79+HU79+HW79</f>
        <v>0</v>
      </c>
    </row>
    <row r="80" spans="1:233" ht="12.75" customHeight="1">
      <c r="A80" s="14" t="s">
        <v>250</v>
      </c>
      <c r="B80" s="34"/>
      <c r="C80" s="34"/>
      <c r="D80" s="39">
        <f>351+351+352+293+293+293+293+293+293+234.3+234.4+234.3</f>
        <v>3515.0000000000005</v>
      </c>
      <c r="E80" s="39">
        <f>351+351+352+293+293+293+293+293+293+234.3+234.4+234.3</f>
        <v>3515.0000000000005</v>
      </c>
      <c r="F80" s="34"/>
      <c r="G80" s="34"/>
      <c r="H80" s="34"/>
      <c r="I80" s="34"/>
      <c r="J80" s="34"/>
      <c r="K80" s="34"/>
      <c r="L80" s="34"/>
      <c r="M80" s="34"/>
      <c r="N80" s="34"/>
      <c r="O80" s="34"/>
      <c r="P80" s="51"/>
      <c r="Q80" s="51"/>
      <c r="R80" s="39"/>
      <c r="S80" s="39"/>
      <c r="T80" s="39"/>
      <c r="U80" s="39"/>
      <c r="V80" s="39"/>
      <c r="W80" s="34"/>
      <c r="X80" s="34"/>
      <c r="Y80" s="34"/>
      <c r="Z80" s="51"/>
      <c r="AA80" s="51"/>
      <c r="AB80" s="34"/>
      <c r="AC80" s="34"/>
      <c r="AD80" s="34"/>
      <c r="AE80" s="34"/>
      <c r="AF80" s="39">
        <v>147</v>
      </c>
      <c r="AG80" s="48">
        <f>12.3+12.3+12.3+12.3+12.3+1.7+8.1+15.6+11.8+10.2+11+27.1</f>
        <v>147</v>
      </c>
      <c r="AH80" s="126">
        <f t="shared" si="65"/>
        <v>3662.0000000000005</v>
      </c>
      <c r="AI80" s="126">
        <f t="shared" si="66"/>
        <v>3662.0000000000005</v>
      </c>
      <c r="AJ80" s="43"/>
      <c r="AK80" s="43"/>
      <c r="AL80" s="134"/>
      <c r="AM80" s="41"/>
      <c r="AN80" s="41"/>
      <c r="AO80" s="41"/>
      <c r="AP80" s="41"/>
      <c r="AQ80" s="41"/>
      <c r="AR80" s="39"/>
      <c r="AS80" s="39"/>
      <c r="AT80" s="43"/>
      <c r="AU80" s="43"/>
      <c r="AV80" s="43"/>
      <c r="AW80" s="43"/>
      <c r="AX80" s="43"/>
      <c r="AY80" s="43"/>
      <c r="AZ80" s="39">
        <f t="shared" si="67"/>
        <v>0</v>
      </c>
      <c r="BA80" s="39">
        <f t="shared" si="61"/>
        <v>0</v>
      </c>
      <c r="BB80" s="39">
        <v>0</v>
      </c>
      <c r="BC80" s="39">
        <v>0</v>
      </c>
      <c r="BD80" s="39"/>
      <c r="BE80" s="43"/>
      <c r="BF80" s="43"/>
      <c r="BG80" s="43"/>
      <c r="BH80" s="43"/>
      <c r="BI80" s="43"/>
      <c r="BJ80" s="43"/>
      <c r="BK80" s="43"/>
      <c r="BL80" s="43"/>
      <c r="BM80" s="43"/>
      <c r="BN80" s="45"/>
      <c r="BO80" s="45"/>
      <c r="BP80" s="45"/>
      <c r="BQ80" s="45"/>
      <c r="BR80" s="43"/>
      <c r="BS80" s="43"/>
      <c r="BT80" s="43"/>
      <c r="BU80" s="43"/>
      <c r="BV80" s="45"/>
      <c r="BW80" s="45"/>
      <c r="BX80" s="43"/>
      <c r="BY80" s="45"/>
      <c r="BZ80" s="43"/>
      <c r="CA80" s="45"/>
      <c r="CB80" s="45"/>
      <c r="CC80" s="45"/>
      <c r="CD80" s="45"/>
      <c r="CE80" s="45"/>
      <c r="CF80" s="39">
        <f t="shared" si="68"/>
        <v>0</v>
      </c>
      <c r="CG80" s="39">
        <f t="shared" si="69"/>
        <v>0</v>
      </c>
      <c r="CH80" s="39">
        <v>2261.49872</v>
      </c>
      <c r="CI80" s="39">
        <v>2261.49872</v>
      </c>
      <c r="CJ80" s="39">
        <v>722.16065</v>
      </c>
      <c r="CK80" s="43">
        <v>722.16065</v>
      </c>
      <c r="CL80" s="43"/>
      <c r="CM80" s="43"/>
      <c r="CN80" s="43"/>
      <c r="CO80" s="43"/>
      <c r="CP80" s="43"/>
      <c r="CQ80" s="39"/>
      <c r="CR80" s="43"/>
      <c r="CS80" s="45"/>
      <c r="CT80" s="45"/>
      <c r="CU80" s="45"/>
      <c r="CV80" s="45"/>
      <c r="CW80" s="43"/>
      <c r="CX80" s="43"/>
      <c r="CY80" s="43"/>
      <c r="CZ80" s="39"/>
      <c r="DA80" s="45"/>
      <c r="DB80" s="43"/>
      <c r="DC80" s="43"/>
      <c r="DD80" s="43"/>
      <c r="DE80" s="43"/>
      <c r="DF80" s="39">
        <f t="shared" si="70"/>
        <v>2983.6593700000003</v>
      </c>
      <c r="DG80" s="39">
        <f t="shared" si="71"/>
        <v>2983.6593700000003</v>
      </c>
      <c r="DH80" s="39"/>
      <c r="DI80" s="39"/>
      <c r="DJ80" s="39">
        <v>0</v>
      </c>
      <c r="DK80" s="39">
        <f t="shared" si="62"/>
        <v>0</v>
      </c>
      <c r="DL80" s="39"/>
      <c r="DM80" s="39"/>
      <c r="DN80" s="43"/>
      <c r="DO80" s="43"/>
      <c r="DP80" s="39">
        <f t="shared" si="72"/>
        <v>0</v>
      </c>
      <c r="DQ80" s="39">
        <f t="shared" si="63"/>
        <v>0</v>
      </c>
      <c r="DR80" s="39"/>
      <c r="DS80" s="39"/>
      <c r="DT80" s="43"/>
      <c r="DU80" s="43"/>
      <c r="DV80" s="43"/>
      <c r="DW80" s="43"/>
      <c r="DX80" s="43"/>
      <c r="DY80" s="43"/>
      <c r="DZ80" s="39"/>
      <c r="EA80" s="39"/>
      <c r="EB80" s="43"/>
      <c r="EC80" s="43"/>
      <c r="ED80" s="43"/>
      <c r="EE80" s="43"/>
      <c r="EF80" s="39"/>
      <c r="EG80" s="43"/>
      <c r="EH80" s="43"/>
      <c r="EI80" s="45"/>
      <c r="EJ80" s="39"/>
      <c r="EK80" s="43"/>
      <c r="EL80" s="43"/>
      <c r="EM80" s="43"/>
      <c r="EN80" s="45"/>
      <c r="EO80" s="45"/>
      <c r="EP80" s="43"/>
      <c r="EQ80" s="43"/>
      <c r="ER80" s="43"/>
      <c r="ES80" s="43"/>
      <c r="ET80" s="135"/>
      <c r="EU80" s="135"/>
      <c r="EV80" s="135"/>
      <c r="EW80" s="135"/>
      <c r="EX80" s="43"/>
      <c r="EY80" s="43"/>
      <c r="EZ80" s="43"/>
      <c r="FA80" s="43"/>
      <c r="FB80" s="37">
        <f t="shared" si="73"/>
        <v>0</v>
      </c>
      <c r="FC80" s="37">
        <f t="shared" si="74"/>
        <v>0</v>
      </c>
      <c r="FD80" s="39"/>
      <c r="FE80" s="39"/>
      <c r="FF80" s="43"/>
      <c r="FG80" s="43"/>
      <c r="FH80" s="132">
        <f t="shared" si="75"/>
        <v>0</v>
      </c>
      <c r="FI80" s="132">
        <f t="shared" si="64"/>
        <v>0</v>
      </c>
      <c r="FJ80" s="39"/>
      <c r="FK80" s="39"/>
      <c r="FL80" s="43"/>
      <c r="FM80" s="43"/>
      <c r="FN80" s="43"/>
      <c r="FO80" s="43"/>
      <c r="FP80" s="43"/>
      <c r="FQ80" s="43"/>
      <c r="FR80" s="39"/>
      <c r="FS80" s="135"/>
      <c r="FT80" s="43"/>
      <c r="FU80" s="43"/>
      <c r="FV80" s="43"/>
      <c r="FW80" s="43"/>
      <c r="FX80" s="43"/>
      <c r="FY80" s="43"/>
      <c r="FZ80" s="43"/>
      <c r="GA80" s="43"/>
      <c r="GB80" s="43"/>
      <c r="GC80" s="43"/>
      <c r="GD80" s="135"/>
      <c r="GE80" s="135"/>
      <c r="GF80" s="43"/>
      <c r="GG80" s="43"/>
      <c r="GH80" s="43"/>
      <c r="GI80" s="43"/>
      <c r="GJ80" s="43"/>
      <c r="GK80" s="43"/>
      <c r="GL80" s="43"/>
      <c r="GM80" s="43"/>
      <c r="GN80" s="43"/>
      <c r="GO80" s="43"/>
      <c r="GP80" s="43"/>
      <c r="GQ80" s="43"/>
      <c r="GR80" s="43"/>
      <c r="GS80" s="43"/>
      <c r="GT80" s="43"/>
      <c r="GU80" s="43"/>
      <c r="GV80" s="43"/>
      <c r="GW80" s="43"/>
      <c r="GX80" s="45"/>
      <c r="GY80" s="45"/>
      <c r="GZ80" s="43"/>
      <c r="HA80" s="43"/>
      <c r="HB80" s="43"/>
      <c r="HC80" s="43"/>
      <c r="HD80" s="39">
        <f t="shared" si="76"/>
        <v>0</v>
      </c>
      <c r="HE80" s="39">
        <f t="shared" si="77"/>
        <v>0</v>
      </c>
      <c r="HF80" s="39"/>
      <c r="HG80" s="39"/>
      <c r="HH80" s="39"/>
      <c r="HI80" s="43"/>
      <c r="HJ80" s="43"/>
      <c r="HK80" s="43"/>
      <c r="HL80" s="43"/>
      <c r="HM80" s="43"/>
      <c r="HN80" s="136"/>
      <c r="HO80" s="136"/>
      <c r="HP80" s="39">
        <f t="shared" si="78"/>
        <v>0</v>
      </c>
      <c r="HQ80" s="39">
        <f t="shared" si="79"/>
        <v>0</v>
      </c>
      <c r="HR80" s="39"/>
      <c r="HS80" s="39"/>
      <c r="HT80" s="39"/>
      <c r="HU80" s="43"/>
      <c r="HV80" s="39"/>
      <c r="HW80" s="39"/>
      <c r="HX80" s="39">
        <f t="shared" si="80"/>
        <v>0</v>
      </c>
      <c r="HY80" s="39">
        <f t="shared" si="81"/>
        <v>0</v>
      </c>
    </row>
    <row r="81" spans="1:233" ht="12.75">
      <c r="A81" s="14" t="s">
        <v>251</v>
      </c>
      <c r="B81" s="34"/>
      <c r="C81" s="34"/>
      <c r="D81" s="39">
        <f>490+490+491+409+409+408+409+409+408+327+327+327</f>
        <v>4904</v>
      </c>
      <c r="E81" s="39">
        <f>490+490+491+409+409+408+409+409+408+327+327+327</f>
        <v>4904</v>
      </c>
      <c r="F81" s="34"/>
      <c r="G81" s="34"/>
      <c r="H81" s="34"/>
      <c r="I81" s="34"/>
      <c r="J81" s="34"/>
      <c r="K81" s="34"/>
      <c r="L81" s="34"/>
      <c r="M81" s="34"/>
      <c r="N81" s="34"/>
      <c r="O81" s="34"/>
      <c r="P81" s="51"/>
      <c r="Q81" s="51"/>
      <c r="R81" s="39"/>
      <c r="S81" s="39"/>
      <c r="T81" s="39">
        <v>550</v>
      </c>
      <c r="U81" s="39">
        <v>550</v>
      </c>
      <c r="V81" s="39"/>
      <c r="W81" s="34"/>
      <c r="X81" s="34"/>
      <c r="Y81" s="34"/>
      <c r="Z81" s="51"/>
      <c r="AA81" s="51"/>
      <c r="AB81" s="34"/>
      <c r="AC81" s="34"/>
      <c r="AD81" s="34"/>
      <c r="AE81" s="34"/>
      <c r="AF81" s="39">
        <v>147</v>
      </c>
      <c r="AG81" s="48">
        <f>12.3+12.3+12.3+12.3+12.3+3.4+12.8+15.6+8.2+9+27.41916+9.08084</f>
        <v>147</v>
      </c>
      <c r="AH81" s="126">
        <f t="shared" si="65"/>
        <v>5601</v>
      </c>
      <c r="AI81" s="126">
        <f t="shared" si="66"/>
        <v>5601</v>
      </c>
      <c r="AJ81" s="43"/>
      <c r="AK81" s="43"/>
      <c r="AL81" s="134"/>
      <c r="AM81" s="41"/>
      <c r="AN81" s="41"/>
      <c r="AO81" s="41"/>
      <c r="AP81" s="41"/>
      <c r="AQ81" s="41"/>
      <c r="AR81" s="39"/>
      <c r="AS81" s="39"/>
      <c r="AT81" s="43"/>
      <c r="AU81" s="43"/>
      <c r="AV81" s="43"/>
      <c r="AW81" s="43"/>
      <c r="AX81" s="43"/>
      <c r="AY81" s="43"/>
      <c r="AZ81" s="39">
        <f t="shared" si="67"/>
        <v>0</v>
      </c>
      <c r="BA81" s="39">
        <f t="shared" si="61"/>
        <v>0</v>
      </c>
      <c r="BB81" s="39">
        <v>0</v>
      </c>
      <c r="BC81" s="39">
        <v>0</v>
      </c>
      <c r="BD81" s="39"/>
      <c r="BE81" s="43"/>
      <c r="BF81" s="43"/>
      <c r="BG81" s="43"/>
      <c r="BH81" s="43"/>
      <c r="BI81" s="43"/>
      <c r="BJ81" s="43"/>
      <c r="BK81" s="43"/>
      <c r="BL81" s="43"/>
      <c r="BM81" s="43"/>
      <c r="BN81" s="45"/>
      <c r="BO81" s="45"/>
      <c r="BP81" s="45"/>
      <c r="BQ81" s="45"/>
      <c r="BR81" s="43"/>
      <c r="BS81" s="43"/>
      <c r="BT81" s="43"/>
      <c r="BU81" s="43"/>
      <c r="BV81" s="45"/>
      <c r="BW81" s="45"/>
      <c r="BX81" s="43"/>
      <c r="BY81" s="45"/>
      <c r="BZ81" s="43"/>
      <c r="CA81" s="45"/>
      <c r="CB81" s="45"/>
      <c r="CC81" s="45"/>
      <c r="CD81" s="45"/>
      <c r="CE81" s="45"/>
      <c r="CF81" s="39">
        <f t="shared" si="68"/>
        <v>0</v>
      </c>
      <c r="CG81" s="39">
        <f t="shared" si="69"/>
        <v>0</v>
      </c>
      <c r="CH81" s="39"/>
      <c r="CI81" s="39"/>
      <c r="CJ81" s="39"/>
      <c r="CK81" s="45"/>
      <c r="CL81" s="45"/>
      <c r="CM81" s="43"/>
      <c r="CN81" s="43"/>
      <c r="CO81" s="43"/>
      <c r="CP81" s="43"/>
      <c r="CQ81" s="39"/>
      <c r="CR81" s="43"/>
      <c r="CS81" s="45"/>
      <c r="CT81" s="45"/>
      <c r="CU81" s="45"/>
      <c r="CV81" s="45"/>
      <c r="CW81" s="43"/>
      <c r="CX81" s="43"/>
      <c r="CY81" s="43"/>
      <c r="CZ81" s="39"/>
      <c r="DA81" s="45"/>
      <c r="DB81" s="43"/>
      <c r="DC81" s="43"/>
      <c r="DD81" s="43"/>
      <c r="DE81" s="43"/>
      <c r="DF81" s="39">
        <f t="shared" si="70"/>
        <v>0</v>
      </c>
      <c r="DG81" s="39">
        <f t="shared" si="71"/>
        <v>0</v>
      </c>
      <c r="DH81" s="39"/>
      <c r="DI81" s="39"/>
      <c r="DJ81" s="39">
        <v>0</v>
      </c>
      <c r="DK81" s="39">
        <f t="shared" si="62"/>
        <v>0</v>
      </c>
      <c r="DL81" s="39"/>
      <c r="DM81" s="39"/>
      <c r="DN81" s="43"/>
      <c r="DO81" s="43"/>
      <c r="DP81" s="39">
        <f t="shared" si="72"/>
        <v>0</v>
      </c>
      <c r="DQ81" s="39">
        <f t="shared" si="63"/>
        <v>0</v>
      </c>
      <c r="DR81" s="39"/>
      <c r="DS81" s="39"/>
      <c r="DT81" s="43"/>
      <c r="DU81" s="43"/>
      <c r="DV81" s="43"/>
      <c r="DW81" s="43"/>
      <c r="DX81" s="43"/>
      <c r="DY81" s="43"/>
      <c r="DZ81" s="39"/>
      <c r="EA81" s="39"/>
      <c r="EB81" s="43"/>
      <c r="EC81" s="43"/>
      <c r="ED81" s="43"/>
      <c r="EE81" s="43"/>
      <c r="EF81" s="39"/>
      <c r="EG81" s="43"/>
      <c r="EH81" s="43"/>
      <c r="EI81" s="45"/>
      <c r="EJ81" s="39"/>
      <c r="EK81" s="43"/>
      <c r="EL81" s="43"/>
      <c r="EM81" s="43"/>
      <c r="EN81" s="45"/>
      <c r="EO81" s="45"/>
      <c r="EP81" s="43"/>
      <c r="EQ81" s="43"/>
      <c r="ER81" s="43"/>
      <c r="ES81" s="43"/>
      <c r="ET81" s="135"/>
      <c r="EU81" s="135"/>
      <c r="EV81" s="135"/>
      <c r="EW81" s="135"/>
      <c r="EX81" s="43"/>
      <c r="EY81" s="43"/>
      <c r="EZ81" s="43"/>
      <c r="FA81" s="43"/>
      <c r="FB81" s="37">
        <f t="shared" si="73"/>
        <v>0</v>
      </c>
      <c r="FC81" s="37">
        <f t="shared" si="74"/>
        <v>0</v>
      </c>
      <c r="FD81" s="39"/>
      <c r="FE81" s="39"/>
      <c r="FF81" s="43"/>
      <c r="FG81" s="43"/>
      <c r="FH81" s="132">
        <f t="shared" si="75"/>
        <v>0</v>
      </c>
      <c r="FI81" s="132">
        <f t="shared" si="64"/>
        <v>0</v>
      </c>
      <c r="FJ81" s="39"/>
      <c r="FK81" s="39"/>
      <c r="FL81" s="43"/>
      <c r="FM81" s="43"/>
      <c r="FN81" s="43"/>
      <c r="FO81" s="43"/>
      <c r="FP81" s="43"/>
      <c r="FQ81" s="43"/>
      <c r="FR81" s="39"/>
      <c r="FS81" s="135"/>
      <c r="FT81" s="43"/>
      <c r="FU81" s="43"/>
      <c r="FV81" s="43"/>
      <c r="FW81" s="43"/>
      <c r="FX81" s="43"/>
      <c r="FY81" s="43"/>
      <c r="FZ81" s="43"/>
      <c r="GA81" s="43"/>
      <c r="GB81" s="43"/>
      <c r="GC81" s="43"/>
      <c r="GD81" s="135"/>
      <c r="GE81" s="135"/>
      <c r="GF81" s="43"/>
      <c r="GG81" s="43"/>
      <c r="GH81" s="43"/>
      <c r="GI81" s="43"/>
      <c r="GJ81" s="43"/>
      <c r="GK81" s="43"/>
      <c r="GL81" s="43"/>
      <c r="GM81" s="43"/>
      <c r="GN81" s="43"/>
      <c r="GO81" s="43"/>
      <c r="GP81" s="43"/>
      <c r="GQ81" s="43"/>
      <c r="GR81" s="43"/>
      <c r="GS81" s="43"/>
      <c r="GT81" s="43"/>
      <c r="GU81" s="43"/>
      <c r="GV81" s="43"/>
      <c r="GW81" s="43"/>
      <c r="GX81" s="45"/>
      <c r="GY81" s="45"/>
      <c r="GZ81" s="43"/>
      <c r="HA81" s="43"/>
      <c r="HB81" s="43"/>
      <c r="HC81" s="43"/>
      <c r="HD81" s="39">
        <f t="shared" si="76"/>
        <v>0</v>
      </c>
      <c r="HE81" s="39">
        <f t="shared" si="77"/>
        <v>0</v>
      </c>
      <c r="HF81" s="39"/>
      <c r="HG81" s="39"/>
      <c r="HH81" s="39"/>
      <c r="HI81" s="43"/>
      <c r="HJ81" s="43"/>
      <c r="HK81" s="43"/>
      <c r="HL81" s="43"/>
      <c r="HM81" s="43"/>
      <c r="HN81" s="136"/>
      <c r="HO81" s="136"/>
      <c r="HP81" s="39">
        <f t="shared" si="78"/>
        <v>0</v>
      </c>
      <c r="HQ81" s="39">
        <f t="shared" si="79"/>
        <v>0</v>
      </c>
      <c r="HR81" s="39"/>
      <c r="HS81" s="39"/>
      <c r="HT81" s="39"/>
      <c r="HU81" s="43"/>
      <c r="HV81" s="39"/>
      <c r="HW81" s="39"/>
      <c r="HX81" s="39">
        <f t="shared" si="80"/>
        <v>0</v>
      </c>
      <c r="HY81" s="39">
        <f t="shared" si="81"/>
        <v>0</v>
      </c>
    </row>
    <row r="82" spans="1:233" ht="12.75" customHeight="1">
      <c r="A82" s="13" t="s">
        <v>132</v>
      </c>
      <c r="B82" s="39">
        <f>SUM(B83:B89)</f>
        <v>0</v>
      </c>
      <c r="C82" s="39">
        <f aca="true" t="shared" si="82" ref="C82:BN82">SUM(C83:C89)</f>
        <v>0</v>
      </c>
      <c r="D82" s="39">
        <f t="shared" si="82"/>
        <v>17923</v>
      </c>
      <c r="E82" s="39">
        <f t="shared" si="82"/>
        <v>17923</v>
      </c>
      <c r="F82" s="39">
        <f t="shared" si="82"/>
        <v>47879.00000000001</v>
      </c>
      <c r="G82" s="39">
        <f t="shared" si="82"/>
        <v>47879.00000000001</v>
      </c>
      <c r="H82" s="39">
        <f t="shared" si="82"/>
        <v>0</v>
      </c>
      <c r="I82" s="39">
        <f t="shared" si="82"/>
        <v>0</v>
      </c>
      <c r="J82" s="39">
        <f t="shared" si="82"/>
        <v>1583.3</v>
      </c>
      <c r="K82" s="39">
        <f t="shared" si="82"/>
        <v>1583.3</v>
      </c>
      <c r="L82" s="39">
        <f t="shared" si="82"/>
        <v>0</v>
      </c>
      <c r="M82" s="39">
        <f t="shared" si="82"/>
        <v>0</v>
      </c>
      <c r="N82" s="39">
        <f t="shared" si="82"/>
        <v>0</v>
      </c>
      <c r="O82" s="39">
        <f t="shared" si="82"/>
        <v>0</v>
      </c>
      <c r="P82" s="39">
        <f t="shared" si="82"/>
        <v>0</v>
      </c>
      <c r="Q82" s="39">
        <f t="shared" si="82"/>
        <v>0</v>
      </c>
      <c r="R82" s="39">
        <f t="shared" si="82"/>
        <v>5335</v>
      </c>
      <c r="S82" s="39">
        <f t="shared" si="82"/>
        <v>5332.36372</v>
      </c>
      <c r="T82" s="39">
        <f t="shared" si="82"/>
        <v>16817.91017</v>
      </c>
      <c r="U82" s="39">
        <f t="shared" si="82"/>
        <v>16808.936299999998</v>
      </c>
      <c r="V82" s="39">
        <f t="shared" si="82"/>
        <v>281.25</v>
      </c>
      <c r="W82" s="39">
        <f t="shared" si="82"/>
        <v>281.25</v>
      </c>
      <c r="X82" s="39">
        <f t="shared" si="82"/>
        <v>0</v>
      </c>
      <c r="Y82" s="39">
        <f t="shared" si="82"/>
        <v>0</v>
      </c>
      <c r="Z82" s="39">
        <f t="shared" si="82"/>
        <v>0</v>
      </c>
      <c r="AA82" s="39">
        <f t="shared" si="82"/>
        <v>0</v>
      </c>
      <c r="AB82" s="39">
        <f t="shared" si="82"/>
        <v>10283</v>
      </c>
      <c r="AC82" s="39">
        <f t="shared" si="82"/>
        <v>10283</v>
      </c>
      <c r="AD82" s="39">
        <f t="shared" si="82"/>
        <v>0</v>
      </c>
      <c r="AE82" s="39">
        <f t="shared" si="82"/>
        <v>0</v>
      </c>
      <c r="AF82" s="39">
        <f t="shared" si="82"/>
        <v>735</v>
      </c>
      <c r="AG82" s="39">
        <f t="shared" si="82"/>
        <v>735</v>
      </c>
      <c r="AH82" s="39">
        <f t="shared" si="82"/>
        <v>100837.46017</v>
      </c>
      <c r="AI82" s="39">
        <f t="shared" si="82"/>
        <v>100825.85002000003</v>
      </c>
      <c r="AJ82" s="39">
        <f t="shared" si="82"/>
        <v>370</v>
      </c>
      <c r="AK82" s="39">
        <f t="shared" si="82"/>
        <v>370</v>
      </c>
      <c r="AL82" s="39">
        <f t="shared" si="82"/>
        <v>669.28</v>
      </c>
      <c r="AM82" s="39">
        <f t="shared" si="82"/>
        <v>664.645</v>
      </c>
      <c r="AN82" s="39">
        <f t="shared" si="82"/>
        <v>400</v>
      </c>
      <c r="AO82" s="39">
        <f t="shared" si="82"/>
        <v>400</v>
      </c>
      <c r="AP82" s="39">
        <f t="shared" si="82"/>
        <v>0</v>
      </c>
      <c r="AQ82" s="39">
        <f t="shared" si="82"/>
        <v>0</v>
      </c>
      <c r="AR82" s="39">
        <f t="shared" si="82"/>
        <v>0</v>
      </c>
      <c r="AS82" s="39">
        <f t="shared" si="82"/>
        <v>0</v>
      </c>
      <c r="AT82" s="39">
        <f t="shared" si="82"/>
        <v>30</v>
      </c>
      <c r="AU82" s="39">
        <f t="shared" si="82"/>
        <v>30</v>
      </c>
      <c r="AV82" s="39">
        <f t="shared" si="82"/>
        <v>0</v>
      </c>
      <c r="AW82" s="39">
        <f t="shared" si="82"/>
        <v>0</v>
      </c>
      <c r="AX82" s="39">
        <f t="shared" si="82"/>
        <v>1680</v>
      </c>
      <c r="AY82" s="39">
        <f t="shared" si="82"/>
        <v>1680</v>
      </c>
      <c r="AZ82" s="39">
        <f t="shared" si="82"/>
        <v>3149.2799999999997</v>
      </c>
      <c r="BA82" s="39">
        <f t="shared" si="82"/>
        <v>3144.645</v>
      </c>
      <c r="BB82" s="39">
        <f t="shared" si="82"/>
        <v>2124</v>
      </c>
      <c r="BC82" s="39">
        <f t="shared" si="82"/>
        <v>2124</v>
      </c>
      <c r="BD82" s="39">
        <f t="shared" si="82"/>
        <v>318.13</v>
      </c>
      <c r="BE82" s="39">
        <f t="shared" si="82"/>
        <v>318.1</v>
      </c>
      <c r="BF82" s="39">
        <f t="shared" si="82"/>
        <v>0</v>
      </c>
      <c r="BG82" s="39">
        <f t="shared" si="82"/>
        <v>0</v>
      </c>
      <c r="BH82" s="39">
        <f t="shared" si="82"/>
        <v>0</v>
      </c>
      <c r="BI82" s="39">
        <f t="shared" si="82"/>
        <v>0</v>
      </c>
      <c r="BJ82" s="39">
        <f t="shared" si="82"/>
        <v>6158</v>
      </c>
      <c r="BK82" s="39">
        <f t="shared" si="82"/>
        <v>6158</v>
      </c>
      <c r="BL82" s="39">
        <f t="shared" si="82"/>
        <v>8098</v>
      </c>
      <c r="BM82" s="39">
        <f t="shared" si="82"/>
        <v>1214.185</v>
      </c>
      <c r="BN82" s="39">
        <f t="shared" si="82"/>
        <v>696.96</v>
      </c>
      <c r="BO82" s="39">
        <f aca="true" t="shared" si="83" ref="BO82:DZ82">SUM(BO83:BO89)</f>
        <v>696.96</v>
      </c>
      <c r="BP82" s="39">
        <f t="shared" si="83"/>
        <v>0</v>
      </c>
      <c r="BQ82" s="39">
        <f t="shared" si="83"/>
        <v>0</v>
      </c>
      <c r="BR82" s="39">
        <f t="shared" si="83"/>
        <v>0</v>
      </c>
      <c r="BS82" s="39">
        <f t="shared" si="83"/>
        <v>0</v>
      </c>
      <c r="BT82" s="39">
        <f t="shared" si="83"/>
        <v>1295</v>
      </c>
      <c r="BU82" s="39">
        <f t="shared" si="83"/>
        <v>1295</v>
      </c>
      <c r="BV82" s="39">
        <f t="shared" si="83"/>
        <v>1396.7</v>
      </c>
      <c r="BW82" s="39">
        <f t="shared" si="83"/>
        <v>1396.7</v>
      </c>
      <c r="BX82" s="39">
        <f t="shared" si="83"/>
        <v>2731.15</v>
      </c>
      <c r="BY82" s="39">
        <f t="shared" si="83"/>
        <v>2665.79</v>
      </c>
      <c r="BZ82" s="39">
        <f t="shared" si="83"/>
        <v>14515.2</v>
      </c>
      <c r="CA82" s="39">
        <f t="shared" si="83"/>
        <v>7484.4</v>
      </c>
      <c r="CB82" s="39">
        <f t="shared" si="83"/>
        <v>0</v>
      </c>
      <c r="CC82" s="39">
        <f t="shared" si="83"/>
        <v>0</v>
      </c>
      <c r="CD82" s="39">
        <f t="shared" si="83"/>
        <v>575.37</v>
      </c>
      <c r="CE82" s="39">
        <f t="shared" si="83"/>
        <v>575.37</v>
      </c>
      <c r="CF82" s="39">
        <f t="shared" si="83"/>
        <v>35784.509999999995</v>
      </c>
      <c r="CG82" s="39">
        <f t="shared" si="83"/>
        <v>21804.504999999997</v>
      </c>
      <c r="CH82" s="39">
        <f t="shared" si="83"/>
        <v>5230.61608</v>
      </c>
      <c r="CI82" s="39">
        <f t="shared" si="83"/>
        <v>5230.61608</v>
      </c>
      <c r="CJ82" s="39">
        <f t="shared" si="83"/>
        <v>1670.28398</v>
      </c>
      <c r="CK82" s="39">
        <f t="shared" si="83"/>
        <v>1670.28398</v>
      </c>
      <c r="CL82" s="39">
        <f t="shared" si="83"/>
        <v>0</v>
      </c>
      <c r="CM82" s="39">
        <f t="shared" si="83"/>
        <v>0</v>
      </c>
      <c r="CN82" s="39">
        <f t="shared" si="83"/>
        <v>0</v>
      </c>
      <c r="CO82" s="39">
        <f t="shared" si="83"/>
        <v>0</v>
      </c>
      <c r="CP82" s="39">
        <f t="shared" si="83"/>
        <v>17019.14</v>
      </c>
      <c r="CQ82" s="39">
        <f t="shared" si="83"/>
        <v>17019.14</v>
      </c>
      <c r="CR82" s="39">
        <f t="shared" si="83"/>
        <v>10074.5</v>
      </c>
      <c r="CS82" s="39">
        <f t="shared" si="83"/>
        <v>10074.5</v>
      </c>
      <c r="CT82" s="39">
        <f t="shared" si="83"/>
        <v>0</v>
      </c>
      <c r="CU82" s="39">
        <f t="shared" si="83"/>
        <v>0</v>
      </c>
      <c r="CV82" s="39">
        <f t="shared" si="83"/>
        <v>0</v>
      </c>
      <c r="CW82" s="39">
        <f t="shared" si="83"/>
        <v>0</v>
      </c>
      <c r="CX82" s="39">
        <f t="shared" si="83"/>
        <v>0</v>
      </c>
      <c r="CY82" s="39">
        <f t="shared" si="83"/>
        <v>0</v>
      </c>
      <c r="CZ82" s="39">
        <f t="shared" si="83"/>
        <v>727.273</v>
      </c>
      <c r="DA82" s="39">
        <f t="shared" si="83"/>
        <v>536.156</v>
      </c>
      <c r="DB82" s="39">
        <f t="shared" si="83"/>
        <v>0</v>
      </c>
      <c r="DC82" s="39">
        <f t="shared" si="83"/>
        <v>0</v>
      </c>
      <c r="DD82" s="39">
        <f t="shared" si="83"/>
        <v>0</v>
      </c>
      <c r="DE82" s="39">
        <f t="shared" si="83"/>
        <v>0</v>
      </c>
      <c r="DF82" s="39">
        <f t="shared" si="83"/>
        <v>34721.81306</v>
      </c>
      <c r="DG82" s="39">
        <f t="shared" si="83"/>
        <v>34530.69606</v>
      </c>
      <c r="DH82" s="39">
        <f t="shared" si="83"/>
        <v>1454.68</v>
      </c>
      <c r="DI82" s="39">
        <f t="shared" si="83"/>
        <v>1454.68</v>
      </c>
      <c r="DJ82" s="39">
        <f t="shared" si="83"/>
        <v>1454.68</v>
      </c>
      <c r="DK82" s="39">
        <f t="shared" si="83"/>
        <v>1454.68</v>
      </c>
      <c r="DL82" s="39">
        <f t="shared" si="83"/>
        <v>0</v>
      </c>
      <c r="DM82" s="39">
        <f t="shared" si="83"/>
        <v>0</v>
      </c>
      <c r="DN82" s="39">
        <f t="shared" si="83"/>
        <v>0</v>
      </c>
      <c r="DO82" s="39">
        <f t="shared" si="83"/>
        <v>0</v>
      </c>
      <c r="DP82" s="39">
        <f t="shared" si="83"/>
        <v>0</v>
      </c>
      <c r="DQ82" s="39">
        <f t="shared" si="83"/>
        <v>0</v>
      </c>
      <c r="DR82" s="39">
        <f t="shared" si="83"/>
        <v>0</v>
      </c>
      <c r="DS82" s="39">
        <f t="shared" si="83"/>
        <v>0</v>
      </c>
      <c r="DT82" s="39">
        <f t="shared" si="83"/>
        <v>0</v>
      </c>
      <c r="DU82" s="39">
        <f t="shared" si="83"/>
        <v>0</v>
      </c>
      <c r="DV82" s="39">
        <f t="shared" si="83"/>
        <v>0</v>
      </c>
      <c r="DW82" s="39">
        <f t="shared" si="83"/>
        <v>0</v>
      </c>
      <c r="DX82" s="39">
        <f t="shared" si="83"/>
        <v>0</v>
      </c>
      <c r="DY82" s="39">
        <f t="shared" si="83"/>
        <v>0</v>
      </c>
      <c r="DZ82" s="39">
        <f t="shared" si="83"/>
        <v>0</v>
      </c>
      <c r="EA82" s="39">
        <f aca="true" t="shared" si="84" ref="EA82:GL82">SUM(EA83:EA89)</f>
        <v>0</v>
      </c>
      <c r="EB82" s="39">
        <f t="shared" si="84"/>
        <v>0</v>
      </c>
      <c r="EC82" s="39">
        <f t="shared" si="84"/>
        <v>0</v>
      </c>
      <c r="ED82" s="39">
        <f t="shared" si="84"/>
        <v>8</v>
      </c>
      <c r="EE82" s="39">
        <f t="shared" si="84"/>
        <v>8</v>
      </c>
      <c r="EF82" s="39">
        <f t="shared" si="84"/>
        <v>2283</v>
      </c>
      <c r="EG82" s="39">
        <f t="shared" si="84"/>
        <v>2283</v>
      </c>
      <c r="EH82" s="39">
        <f t="shared" si="84"/>
        <v>17058.300000000003</v>
      </c>
      <c r="EI82" s="39">
        <f t="shared" si="84"/>
        <v>17058.300000000003</v>
      </c>
      <c r="EJ82" s="39">
        <f t="shared" si="84"/>
        <v>930</v>
      </c>
      <c r="EK82" s="39">
        <f t="shared" si="84"/>
        <v>905.2</v>
      </c>
      <c r="EL82" s="39">
        <f t="shared" si="84"/>
        <v>0</v>
      </c>
      <c r="EM82" s="39">
        <f t="shared" si="84"/>
        <v>0</v>
      </c>
      <c r="EN82" s="39">
        <f t="shared" si="84"/>
        <v>0</v>
      </c>
      <c r="EO82" s="39">
        <f t="shared" si="84"/>
        <v>0</v>
      </c>
      <c r="EP82" s="39">
        <f t="shared" si="84"/>
        <v>0</v>
      </c>
      <c r="EQ82" s="39">
        <f t="shared" si="84"/>
        <v>0</v>
      </c>
      <c r="ER82" s="39">
        <f t="shared" si="84"/>
        <v>0</v>
      </c>
      <c r="ES82" s="39">
        <f t="shared" si="84"/>
        <v>0</v>
      </c>
      <c r="ET82" s="39">
        <f t="shared" si="84"/>
        <v>0</v>
      </c>
      <c r="EU82" s="39">
        <f t="shared" si="84"/>
        <v>0</v>
      </c>
      <c r="EV82" s="39">
        <f t="shared" si="84"/>
        <v>0</v>
      </c>
      <c r="EW82" s="39">
        <f t="shared" si="84"/>
        <v>0</v>
      </c>
      <c r="EX82" s="39">
        <f t="shared" si="84"/>
        <v>100</v>
      </c>
      <c r="EY82" s="39">
        <f t="shared" si="84"/>
        <v>100</v>
      </c>
      <c r="EZ82" s="39">
        <f t="shared" si="84"/>
        <v>50</v>
      </c>
      <c r="FA82" s="39">
        <f t="shared" si="84"/>
        <v>50</v>
      </c>
      <c r="FB82" s="39">
        <f t="shared" si="84"/>
        <v>20429.300000000003</v>
      </c>
      <c r="FC82" s="39">
        <f t="shared" si="84"/>
        <v>20404.500000000004</v>
      </c>
      <c r="FD82" s="39">
        <f t="shared" si="84"/>
        <v>124.07</v>
      </c>
      <c r="FE82" s="39">
        <f t="shared" si="84"/>
        <v>124.07</v>
      </c>
      <c r="FF82" s="39">
        <f t="shared" si="84"/>
        <v>14.97</v>
      </c>
      <c r="FG82" s="39">
        <f t="shared" si="84"/>
        <v>14.97</v>
      </c>
      <c r="FH82" s="39">
        <f t="shared" si="84"/>
        <v>139.04</v>
      </c>
      <c r="FI82" s="39">
        <f t="shared" si="84"/>
        <v>139.04</v>
      </c>
      <c r="FJ82" s="39">
        <f t="shared" si="84"/>
        <v>0</v>
      </c>
      <c r="FK82" s="39">
        <f t="shared" si="84"/>
        <v>0</v>
      </c>
      <c r="FL82" s="39">
        <f t="shared" si="84"/>
        <v>0</v>
      </c>
      <c r="FM82" s="39">
        <f t="shared" si="84"/>
        <v>0</v>
      </c>
      <c r="FN82" s="39">
        <f t="shared" si="84"/>
        <v>0</v>
      </c>
      <c r="FO82" s="39">
        <f t="shared" si="84"/>
        <v>0</v>
      </c>
      <c r="FP82" s="39">
        <f t="shared" si="84"/>
        <v>0</v>
      </c>
      <c r="FQ82" s="39">
        <f t="shared" si="84"/>
        <v>0</v>
      </c>
      <c r="FR82" s="39">
        <f t="shared" si="84"/>
        <v>758.1</v>
      </c>
      <c r="FS82" s="39">
        <f t="shared" si="84"/>
        <v>734.373</v>
      </c>
      <c r="FT82" s="39">
        <f t="shared" si="84"/>
        <v>1730</v>
      </c>
      <c r="FU82" s="39">
        <f t="shared" si="84"/>
        <v>1730</v>
      </c>
      <c r="FV82" s="39">
        <f t="shared" si="84"/>
        <v>2023</v>
      </c>
      <c r="FW82" s="39">
        <f t="shared" si="84"/>
        <v>2023</v>
      </c>
      <c r="FX82" s="39">
        <f t="shared" si="84"/>
        <v>10684</v>
      </c>
      <c r="FY82" s="39">
        <f t="shared" si="84"/>
        <v>10684</v>
      </c>
      <c r="FZ82" s="39">
        <f t="shared" si="84"/>
        <v>6385</v>
      </c>
      <c r="GA82" s="39">
        <f t="shared" si="84"/>
        <v>6385</v>
      </c>
      <c r="GB82" s="39">
        <f t="shared" si="84"/>
        <v>0</v>
      </c>
      <c r="GC82" s="39">
        <f t="shared" si="84"/>
        <v>0</v>
      </c>
      <c r="GD82" s="39">
        <f t="shared" si="84"/>
        <v>60109.84</v>
      </c>
      <c r="GE82" s="39">
        <f t="shared" si="84"/>
        <v>27943.84</v>
      </c>
      <c r="GF82" s="39">
        <f t="shared" si="84"/>
        <v>1475.9</v>
      </c>
      <c r="GG82" s="39">
        <f t="shared" si="84"/>
        <v>1475.9</v>
      </c>
      <c r="GH82" s="39">
        <f t="shared" si="84"/>
        <v>631.9</v>
      </c>
      <c r="GI82" s="39">
        <f t="shared" si="84"/>
        <v>631.9</v>
      </c>
      <c r="GJ82" s="39">
        <f t="shared" si="84"/>
        <v>100473.5</v>
      </c>
      <c r="GK82" s="39">
        <f t="shared" si="84"/>
        <v>100473.5</v>
      </c>
      <c r="GL82" s="39">
        <f t="shared" si="84"/>
        <v>176304.9</v>
      </c>
      <c r="GM82" s="39">
        <f aca="true" t="shared" si="85" ref="GM82:HY82">SUM(GM83:GM89)</f>
        <v>176304.9</v>
      </c>
      <c r="GN82" s="39">
        <f t="shared" si="85"/>
        <v>0</v>
      </c>
      <c r="GO82" s="39">
        <f t="shared" si="85"/>
        <v>0</v>
      </c>
      <c r="GP82" s="39">
        <f t="shared" si="85"/>
        <v>15353.3</v>
      </c>
      <c r="GQ82" s="39">
        <f t="shared" si="85"/>
        <v>15353.3</v>
      </c>
      <c r="GR82" s="39">
        <f t="shared" si="85"/>
        <v>1698</v>
      </c>
      <c r="GS82" s="39">
        <f t="shared" si="85"/>
        <v>1698</v>
      </c>
      <c r="GT82" s="39">
        <f t="shared" si="85"/>
        <v>271.5</v>
      </c>
      <c r="GU82" s="39">
        <f t="shared" si="85"/>
        <v>271.5</v>
      </c>
      <c r="GV82" s="39">
        <f t="shared" si="85"/>
        <v>21809</v>
      </c>
      <c r="GW82" s="39">
        <f t="shared" si="85"/>
        <v>21809</v>
      </c>
      <c r="GX82" s="39">
        <f t="shared" si="85"/>
        <v>4519.3</v>
      </c>
      <c r="GY82" s="39">
        <f t="shared" si="85"/>
        <v>4519.3</v>
      </c>
      <c r="GZ82" s="39">
        <f t="shared" si="85"/>
        <v>50</v>
      </c>
      <c r="HA82" s="39">
        <f t="shared" si="85"/>
        <v>50</v>
      </c>
      <c r="HB82" s="39">
        <f t="shared" si="85"/>
        <v>313.8</v>
      </c>
      <c r="HC82" s="39">
        <f t="shared" si="85"/>
        <v>313.8</v>
      </c>
      <c r="HD82" s="39">
        <f t="shared" si="85"/>
        <v>404591.0399999999</v>
      </c>
      <c r="HE82" s="39">
        <f t="shared" si="85"/>
        <v>372401.31299999997</v>
      </c>
      <c r="HF82" s="39">
        <f t="shared" si="85"/>
        <v>0</v>
      </c>
      <c r="HG82" s="39">
        <f t="shared" si="85"/>
        <v>0</v>
      </c>
      <c r="HH82" s="39">
        <f t="shared" si="85"/>
        <v>0</v>
      </c>
      <c r="HI82" s="39">
        <f t="shared" si="85"/>
        <v>0</v>
      </c>
      <c r="HJ82" s="39">
        <f t="shared" si="85"/>
        <v>0</v>
      </c>
      <c r="HK82" s="39">
        <f t="shared" si="85"/>
        <v>0</v>
      </c>
      <c r="HL82" s="39">
        <f t="shared" si="85"/>
        <v>0</v>
      </c>
      <c r="HM82" s="39">
        <f t="shared" si="85"/>
        <v>0</v>
      </c>
      <c r="HN82" s="39">
        <f t="shared" si="85"/>
        <v>0</v>
      </c>
      <c r="HO82" s="39">
        <f t="shared" si="85"/>
        <v>0</v>
      </c>
      <c r="HP82" s="39">
        <f t="shared" si="85"/>
        <v>0</v>
      </c>
      <c r="HQ82" s="39">
        <f t="shared" si="85"/>
        <v>0</v>
      </c>
      <c r="HR82" s="39">
        <f t="shared" si="85"/>
        <v>0</v>
      </c>
      <c r="HS82" s="39">
        <f t="shared" si="85"/>
        <v>0</v>
      </c>
      <c r="HT82" s="39">
        <f t="shared" si="85"/>
        <v>364</v>
      </c>
      <c r="HU82" s="39">
        <f t="shared" si="85"/>
        <v>354.08</v>
      </c>
      <c r="HV82" s="39">
        <f t="shared" si="85"/>
        <v>5.879</v>
      </c>
      <c r="HW82" s="39">
        <f t="shared" si="85"/>
        <v>5.879</v>
      </c>
      <c r="HX82" s="39">
        <f t="shared" si="85"/>
        <v>369.879</v>
      </c>
      <c r="HY82" s="39">
        <f t="shared" si="85"/>
        <v>359.959</v>
      </c>
    </row>
    <row r="83" spans="1:233" ht="12.75">
      <c r="A83" s="12" t="s">
        <v>156</v>
      </c>
      <c r="B83" s="34"/>
      <c r="C83" s="34"/>
      <c r="D83" s="34"/>
      <c r="E83" s="34"/>
      <c r="F83" s="39">
        <f>4788+3192+3990+2394+3990+3173+439+1806+15076+1806+1806+1806.3+1806.4+1806.3</f>
        <v>47879.00000000001</v>
      </c>
      <c r="G83" s="39">
        <f>4788+3192+3990+2394+3990+3173+439+1806+15076+1806+1806+1806.3+1806.4+1806.3</f>
        <v>47879.00000000001</v>
      </c>
      <c r="H83" s="34"/>
      <c r="I83" s="34"/>
      <c r="J83" s="34"/>
      <c r="K83" s="34"/>
      <c r="L83" s="34"/>
      <c r="M83" s="34"/>
      <c r="N83" s="34"/>
      <c r="O83" s="34"/>
      <c r="P83" s="51"/>
      <c r="Q83" s="51"/>
      <c r="R83" s="39"/>
      <c r="S83" s="39"/>
      <c r="T83" s="39">
        <v>0</v>
      </c>
      <c r="U83" s="39"/>
      <c r="V83" s="39"/>
      <c r="W83" s="34"/>
      <c r="X83" s="34"/>
      <c r="Y83" s="34"/>
      <c r="Z83" s="51"/>
      <c r="AA83" s="51"/>
      <c r="AB83" s="39">
        <v>10283</v>
      </c>
      <c r="AC83" s="39">
        <v>10283</v>
      </c>
      <c r="AD83" s="34"/>
      <c r="AE83" s="34"/>
      <c r="AF83" s="39"/>
      <c r="AG83" s="48"/>
      <c r="AH83" s="126">
        <f t="shared" si="65"/>
        <v>58162.00000000001</v>
      </c>
      <c r="AI83" s="126">
        <f t="shared" si="66"/>
        <v>58162.00000000001</v>
      </c>
      <c r="AJ83" s="43">
        <v>370</v>
      </c>
      <c r="AK83" s="43">
        <v>370</v>
      </c>
      <c r="AL83" s="134">
        <v>669.28</v>
      </c>
      <c r="AM83" s="41">
        <f>315.445+349.2</f>
        <v>664.645</v>
      </c>
      <c r="AN83" s="41"/>
      <c r="AO83" s="41"/>
      <c r="AP83" s="41"/>
      <c r="AQ83" s="41"/>
      <c r="AR83" s="39"/>
      <c r="AS83" s="39"/>
      <c r="AT83" s="43">
        <v>30</v>
      </c>
      <c r="AU83" s="43">
        <v>30</v>
      </c>
      <c r="AV83" s="43"/>
      <c r="AW83" s="43"/>
      <c r="AX83" s="43">
        <v>1680</v>
      </c>
      <c r="AY83" s="43">
        <v>1680</v>
      </c>
      <c r="AZ83" s="39">
        <f t="shared" si="67"/>
        <v>2749.2799999999997</v>
      </c>
      <c r="BA83" s="39">
        <f t="shared" si="61"/>
        <v>2744.645</v>
      </c>
      <c r="BB83" s="39">
        <v>2124</v>
      </c>
      <c r="BC83" s="39">
        <v>2124</v>
      </c>
      <c r="BD83" s="39">
        <v>318.13</v>
      </c>
      <c r="BE83" s="43">
        <v>318.1</v>
      </c>
      <c r="BF83" s="43"/>
      <c r="BG83" s="43"/>
      <c r="BH83" s="43"/>
      <c r="BI83" s="43"/>
      <c r="BJ83" s="43">
        <v>6158</v>
      </c>
      <c r="BK83" s="43">
        <v>6158</v>
      </c>
      <c r="BL83" s="43">
        <v>8098</v>
      </c>
      <c r="BM83" s="43">
        <v>1214.185</v>
      </c>
      <c r="BN83" s="43">
        <v>696.96</v>
      </c>
      <c r="BO83" s="43">
        <v>696.96</v>
      </c>
      <c r="BP83" s="43"/>
      <c r="BQ83" s="43"/>
      <c r="BR83" s="43"/>
      <c r="BS83" s="43"/>
      <c r="BT83" s="43">
        <v>189.6</v>
      </c>
      <c r="BU83" s="43">
        <v>189.6</v>
      </c>
      <c r="BV83" s="43">
        <v>198.9</v>
      </c>
      <c r="BW83" s="43">
        <v>198.9</v>
      </c>
      <c r="BX83" s="43">
        <v>2731.15</v>
      </c>
      <c r="BY83" s="43">
        <v>2665.79</v>
      </c>
      <c r="BZ83" s="43">
        <v>14515.2</v>
      </c>
      <c r="CA83" s="43">
        <v>7484.4</v>
      </c>
      <c r="CB83" s="39"/>
      <c r="CC83" s="39"/>
      <c r="CD83" s="43">
        <v>575.37</v>
      </c>
      <c r="CE83" s="43">
        <v>575.37</v>
      </c>
      <c r="CF83" s="39">
        <f t="shared" si="68"/>
        <v>33481.31</v>
      </c>
      <c r="CG83" s="39">
        <f t="shared" si="69"/>
        <v>19501.305</v>
      </c>
      <c r="CH83" s="39"/>
      <c r="CI83" s="39"/>
      <c r="CJ83" s="39">
        <v>0</v>
      </c>
      <c r="CK83" s="45"/>
      <c r="CL83" s="45"/>
      <c r="CM83" s="43"/>
      <c r="CN83" s="43"/>
      <c r="CO83" s="43"/>
      <c r="CP83" s="43">
        <v>15315.73</v>
      </c>
      <c r="CQ83" s="43">
        <v>15315.73</v>
      </c>
      <c r="CR83" s="43">
        <v>9066.16</v>
      </c>
      <c r="CS83" s="43">
        <v>9066.16</v>
      </c>
      <c r="CT83" s="43"/>
      <c r="CU83" s="45"/>
      <c r="CV83" s="45"/>
      <c r="CW83" s="43"/>
      <c r="CX83" s="43"/>
      <c r="CY83" s="43"/>
      <c r="CZ83" s="39"/>
      <c r="DA83" s="45"/>
      <c r="DB83" s="43"/>
      <c r="DC83" s="43"/>
      <c r="DD83" s="43"/>
      <c r="DE83" s="43"/>
      <c r="DF83" s="39">
        <f t="shared" si="70"/>
        <v>24381.89</v>
      </c>
      <c r="DG83" s="39">
        <f t="shared" si="71"/>
        <v>24381.89</v>
      </c>
      <c r="DH83" s="39">
        <v>1454.68</v>
      </c>
      <c r="DI83" s="39">
        <v>1454.68</v>
      </c>
      <c r="DJ83" s="39">
        <v>1454.68</v>
      </c>
      <c r="DK83" s="39">
        <f t="shared" si="62"/>
        <v>1454.68</v>
      </c>
      <c r="DL83" s="39"/>
      <c r="DM83" s="39"/>
      <c r="DN83" s="43"/>
      <c r="DO83" s="43"/>
      <c r="DP83" s="39">
        <f t="shared" si="72"/>
        <v>0</v>
      </c>
      <c r="DQ83" s="39">
        <f t="shared" si="63"/>
        <v>0</v>
      </c>
      <c r="DR83" s="39"/>
      <c r="DS83" s="39"/>
      <c r="DT83" s="43"/>
      <c r="DU83" s="43"/>
      <c r="DV83" s="43"/>
      <c r="DW83" s="43"/>
      <c r="DX83" s="43"/>
      <c r="DY83" s="43"/>
      <c r="DZ83" s="39"/>
      <c r="EA83" s="39"/>
      <c r="EB83" s="43"/>
      <c r="EC83" s="43"/>
      <c r="ED83" s="43">
        <v>8</v>
      </c>
      <c r="EE83" s="43">
        <v>8</v>
      </c>
      <c r="EF83" s="39">
        <v>948</v>
      </c>
      <c r="EG83" s="43">
        <v>948</v>
      </c>
      <c r="EH83" s="43">
        <v>6885.2</v>
      </c>
      <c r="EI83" s="39">
        <v>6885.2</v>
      </c>
      <c r="EJ83" s="39">
        <v>460</v>
      </c>
      <c r="EK83" s="43">
        <v>460</v>
      </c>
      <c r="EL83" s="43"/>
      <c r="EM83" s="43"/>
      <c r="EN83" s="45"/>
      <c r="EO83" s="45"/>
      <c r="EP83" s="43"/>
      <c r="EQ83" s="43"/>
      <c r="ER83" s="43"/>
      <c r="ES83" s="43"/>
      <c r="ET83" s="135"/>
      <c r="EU83" s="135"/>
      <c r="EV83" s="135"/>
      <c r="EW83" s="135"/>
      <c r="EX83" s="43"/>
      <c r="EY83" s="43"/>
      <c r="EZ83" s="43">
        <v>50</v>
      </c>
      <c r="FA83" s="43">
        <v>50</v>
      </c>
      <c r="FB83" s="37">
        <f t="shared" si="73"/>
        <v>8351.2</v>
      </c>
      <c r="FC83" s="37">
        <f t="shared" si="74"/>
        <v>8351.2</v>
      </c>
      <c r="FD83" s="39">
        <v>124.07</v>
      </c>
      <c r="FE83" s="39">
        <v>124.07</v>
      </c>
      <c r="FF83" s="43">
        <v>14.97</v>
      </c>
      <c r="FG83" s="43">
        <v>14.97</v>
      </c>
      <c r="FH83" s="132">
        <f t="shared" si="75"/>
        <v>139.04</v>
      </c>
      <c r="FI83" s="132">
        <f t="shared" si="64"/>
        <v>139.04</v>
      </c>
      <c r="FJ83" s="39"/>
      <c r="FK83" s="39"/>
      <c r="FL83" s="43"/>
      <c r="FM83" s="43"/>
      <c r="FN83" s="43"/>
      <c r="FO83" s="43"/>
      <c r="FP83" s="43"/>
      <c r="FQ83" s="43"/>
      <c r="FR83" s="39">
        <v>758.1</v>
      </c>
      <c r="FS83" s="135">
        <v>734.373</v>
      </c>
      <c r="FT83" s="43">
        <v>1730</v>
      </c>
      <c r="FU83" s="43">
        <v>1730</v>
      </c>
      <c r="FV83" s="43">
        <v>2023</v>
      </c>
      <c r="FW83" s="43">
        <v>2023</v>
      </c>
      <c r="FX83" s="43">
        <v>10684</v>
      </c>
      <c r="FY83" s="43">
        <v>10684</v>
      </c>
      <c r="FZ83" s="43">
        <v>6385</v>
      </c>
      <c r="GA83" s="43">
        <v>6385</v>
      </c>
      <c r="GB83" s="43"/>
      <c r="GC83" s="43"/>
      <c r="GD83" s="135">
        <f>27943.84+32166</f>
        <v>60109.84</v>
      </c>
      <c r="GE83" s="135">
        <v>27943.84</v>
      </c>
      <c r="GF83" s="43">
        <v>1475.9</v>
      </c>
      <c r="GG83" s="43">
        <v>1475.9</v>
      </c>
      <c r="GH83" s="43">
        <v>631.9</v>
      </c>
      <c r="GI83" s="43">
        <v>631.9</v>
      </c>
      <c r="GJ83" s="43">
        <v>100473.5</v>
      </c>
      <c r="GK83" s="43">
        <v>100473.5</v>
      </c>
      <c r="GL83" s="43">
        <v>176304.9</v>
      </c>
      <c r="GM83" s="43">
        <v>176304.9</v>
      </c>
      <c r="GN83" s="43"/>
      <c r="GO83" s="43"/>
      <c r="GP83" s="43">
        <v>15353.3</v>
      </c>
      <c r="GQ83" s="43">
        <v>15353.3</v>
      </c>
      <c r="GR83" s="43">
        <v>1698</v>
      </c>
      <c r="GS83" s="43">
        <v>1698</v>
      </c>
      <c r="GT83" s="43">
        <v>271.5</v>
      </c>
      <c r="GU83" s="43">
        <v>271.5</v>
      </c>
      <c r="GV83" s="43">
        <v>21809</v>
      </c>
      <c r="GW83" s="43">
        <v>21809</v>
      </c>
      <c r="GX83" s="45">
        <v>4519.3</v>
      </c>
      <c r="GY83" s="45">
        <v>4519.3</v>
      </c>
      <c r="GZ83" s="43">
        <v>50</v>
      </c>
      <c r="HA83" s="43">
        <v>50</v>
      </c>
      <c r="HB83" s="43">
        <v>313.8</v>
      </c>
      <c r="HC83" s="43">
        <v>313.8</v>
      </c>
      <c r="HD83" s="39">
        <f t="shared" si="76"/>
        <v>404591.0399999999</v>
      </c>
      <c r="HE83" s="39">
        <f t="shared" si="77"/>
        <v>372401.31299999997</v>
      </c>
      <c r="HF83" s="39"/>
      <c r="HG83" s="39"/>
      <c r="HH83" s="39"/>
      <c r="HI83" s="43"/>
      <c r="HJ83" s="43"/>
      <c r="HK83" s="43"/>
      <c r="HL83" s="43"/>
      <c r="HM83" s="43"/>
      <c r="HN83" s="136"/>
      <c r="HO83" s="136"/>
      <c r="HP83" s="39">
        <f t="shared" si="78"/>
        <v>0</v>
      </c>
      <c r="HQ83" s="39">
        <f t="shared" si="79"/>
        <v>0</v>
      </c>
      <c r="HR83" s="39"/>
      <c r="HS83" s="39"/>
      <c r="HT83" s="39">
        <v>364</v>
      </c>
      <c r="HU83" s="43">
        <v>354.08</v>
      </c>
      <c r="HV83" s="39">
        <v>5.879</v>
      </c>
      <c r="HW83" s="39">
        <v>5.879</v>
      </c>
      <c r="HX83" s="39">
        <f t="shared" si="80"/>
        <v>369.879</v>
      </c>
      <c r="HY83" s="39">
        <f t="shared" si="81"/>
        <v>359.959</v>
      </c>
    </row>
    <row r="84" spans="1:233" ht="12.75" customHeight="1">
      <c r="A84" s="14" t="s">
        <v>213</v>
      </c>
      <c r="B84" s="34"/>
      <c r="C84" s="34"/>
      <c r="D84" s="39">
        <f>761+761+760+634+634+633+634+634+633+507.3+507.4+507.3</f>
        <v>7606</v>
      </c>
      <c r="E84" s="39">
        <f>761+761+760+634+634+633+634+634+633+507.3+507.4+507.3</f>
        <v>7606</v>
      </c>
      <c r="F84" s="34"/>
      <c r="G84" s="34"/>
      <c r="H84" s="34"/>
      <c r="I84" s="34"/>
      <c r="J84" s="34"/>
      <c r="K84" s="34"/>
      <c r="L84" s="34"/>
      <c r="M84" s="34"/>
      <c r="N84" s="34"/>
      <c r="O84" s="34"/>
      <c r="P84" s="34"/>
      <c r="Q84" s="34"/>
      <c r="R84" s="39">
        <v>4305</v>
      </c>
      <c r="S84" s="39">
        <f>4304.4322</f>
        <v>4304.4322</v>
      </c>
      <c r="T84" s="39">
        <v>13162.882880000001</v>
      </c>
      <c r="U84" s="39">
        <f>1440.20878+11713.70023</f>
        <v>13153.90901</v>
      </c>
      <c r="V84" s="39"/>
      <c r="W84" s="34"/>
      <c r="X84" s="34"/>
      <c r="Y84" s="34"/>
      <c r="Z84" s="51"/>
      <c r="AA84" s="51"/>
      <c r="AB84" s="34"/>
      <c r="AC84" s="34"/>
      <c r="AD84" s="34"/>
      <c r="AE84" s="34"/>
      <c r="AF84" s="39"/>
      <c r="AG84" s="48"/>
      <c r="AH84" s="126">
        <f t="shared" si="65"/>
        <v>25073.88288</v>
      </c>
      <c r="AI84" s="126">
        <f t="shared" si="66"/>
        <v>25064.34121</v>
      </c>
      <c r="AJ84" s="43"/>
      <c r="AK84" s="43"/>
      <c r="AL84" s="134"/>
      <c r="AM84" s="41"/>
      <c r="AN84" s="41">
        <v>400</v>
      </c>
      <c r="AO84" s="41">
        <v>400</v>
      </c>
      <c r="AP84" s="41"/>
      <c r="AQ84" s="41"/>
      <c r="AR84" s="39"/>
      <c r="AS84" s="39"/>
      <c r="AT84" s="43"/>
      <c r="AU84" s="43"/>
      <c r="AV84" s="43"/>
      <c r="AW84" s="43"/>
      <c r="AX84" s="43"/>
      <c r="AY84" s="43"/>
      <c r="AZ84" s="39">
        <f t="shared" si="67"/>
        <v>400</v>
      </c>
      <c r="BA84" s="39">
        <f t="shared" si="61"/>
        <v>400</v>
      </c>
      <c r="BB84" s="39">
        <v>0</v>
      </c>
      <c r="BC84" s="39">
        <v>0</v>
      </c>
      <c r="BD84" s="39"/>
      <c r="BE84" s="43"/>
      <c r="BF84" s="43"/>
      <c r="BG84" s="43"/>
      <c r="BH84" s="43"/>
      <c r="BI84" s="43"/>
      <c r="BJ84" s="43"/>
      <c r="BK84" s="43"/>
      <c r="BL84" s="43"/>
      <c r="BM84" s="43"/>
      <c r="BN84" s="45"/>
      <c r="BO84" s="45"/>
      <c r="BP84" s="45"/>
      <c r="BQ84" s="45"/>
      <c r="BR84" s="43"/>
      <c r="BS84" s="43"/>
      <c r="BT84" s="43">
        <v>950.4</v>
      </c>
      <c r="BU84" s="43">
        <v>950.4</v>
      </c>
      <c r="BV84" s="43">
        <v>1017.7</v>
      </c>
      <c r="BW84" s="43">
        <v>1017.7</v>
      </c>
      <c r="BX84" s="43"/>
      <c r="BY84" s="45"/>
      <c r="BZ84" s="43"/>
      <c r="CA84" s="45"/>
      <c r="CB84" s="45"/>
      <c r="CC84" s="45"/>
      <c r="CD84" s="45"/>
      <c r="CE84" s="45"/>
      <c r="CF84" s="39">
        <f t="shared" si="68"/>
        <v>1968.1</v>
      </c>
      <c r="CG84" s="39">
        <f t="shared" si="69"/>
        <v>1968.1</v>
      </c>
      <c r="CH84" s="39">
        <v>5230.61608</v>
      </c>
      <c r="CI84" s="39">
        <v>5230.61608</v>
      </c>
      <c r="CJ84" s="39">
        <v>1670.28398</v>
      </c>
      <c r="CK84" s="43">
        <v>1670.28398</v>
      </c>
      <c r="CL84" s="43"/>
      <c r="CM84" s="43"/>
      <c r="CN84" s="43"/>
      <c r="CO84" s="43"/>
      <c r="CP84" s="43"/>
      <c r="CQ84" s="39"/>
      <c r="CR84" s="43"/>
      <c r="CS84" s="45"/>
      <c r="CT84" s="45"/>
      <c r="CU84" s="45"/>
      <c r="CV84" s="45"/>
      <c r="CW84" s="43"/>
      <c r="CX84" s="43"/>
      <c r="CY84" s="43"/>
      <c r="CZ84" s="39">
        <v>727.273</v>
      </c>
      <c r="DA84" s="39">
        <v>536.156</v>
      </c>
      <c r="DB84" s="43"/>
      <c r="DC84" s="43"/>
      <c r="DD84" s="43"/>
      <c r="DE84" s="43"/>
      <c r="DF84" s="39">
        <f t="shared" si="70"/>
        <v>7628.17306</v>
      </c>
      <c r="DG84" s="39">
        <f t="shared" si="71"/>
        <v>7437.05606</v>
      </c>
      <c r="DH84" s="39"/>
      <c r="DI84" s="39"/>
      <c r="DJ84" s="39">
        <v>0</v>
      </c>
      <c r="DK84" s="39">
        <f t="shared" si="62"/>
        <v>0</v>
      </c>
      <c r="DL84" s="39"/>
      <c r="DM84" s="39"/>
      <c r="DN84" s="43"/>
      <c r="DO84" s="43"/>
      <c r="DP84" s="39">
        <f t="shared" si="72"/>
        <v>0</v>
      </c>
      <c r="DQ84" s="39">
        <f t="shared" si="63"/>
        <v>0</v>
      </c>
      <c r="DR84" s="39"/>
      <c r="DS84" s="39"/>
      <c r="DT84" s="43"/>
      <c r="DU84" s="43"/>
      <c r="DV84" s="43"/>
      <c r="DW84" s="43"/>
      <c r="DX84" s="43"/>
      <c r="DY84" s="43"/>
      <c r="DZ84" s="39"/>
      <c r="EA84" s="39"/>
      <c r="EB84" s="43"/>
      <c r="EC84" s="43"/>
      <c r="ED84" s="43"/>
      <c r="EE84" s="43"/>
      <c r="EF84" s="39">
        <v>395</v>
      </c>
      <c r="EG84" s="43">
        <v>395</v>
      </c>
      <c r="EH84" s="43">
        <v>5667</v>
      </c>
      <c r="EI84" s="39">
        <v>5667</v>
      </c>
      <c r="EJ84" s="39"/>
      <c r="EK84" s="43"/>
      <c r="EL84" s="43"/>
      <c r="EM84" s="43"/>
      <c r="EN84" s="45"/>
      <c r="EO84" s="45"/>
      <c r="EP84" s="43"/>
      <c r="EQ84" s="43"/>
      <c r="ER84" s="43"/>
      <c r="ES84" s="43"/>
      <c r="ET84" s="135"/>
      <c r="EU84" s="135"/>
      <c r="EV84" s="135"/>
      <c r="EW84" s="135"/>
      <c r="EX84" s="43"/>
      <c r="EY84" s="43"/>
      <c r="EZ84" s="43"/>
      <c r="FA84" s="43"/>
      <c r="FB84" s="37">
        <f t="shared" si="73"/>
        <v>6062</v>
      </c>
      <c r="FC84" s="37">
        <f t="shared" si="74"/>
        <v>6062</v>
      </c>
      <c r="FD84" s="39"/>
      <c r="FE84" s="39"/>
      <c r="FF84" s="43"/>
      <c r="FG84" s="43"/>
      <c r="FH84" s="132">
        <f t="shared" si="75"/>
        <v>0</v>
      </c>
      <c r="FI84" s="132">
        <f t="shared" si="64"/>
        <v>0</v>
      </c>
      <c r="FJ84" s="39"/>
      <c r="FK84" s="39"/>
      <c r="FL84" s="43"/>
      <c r="FM84" s="43"/>
      <c r="FN84" s="43"/>
      <c r="FO84" s="43"/>
      <c r="FP84" s="43"/>
      <c r="FQ84" s="43"/>
      <c r="FR84" s="39"/>
      <c r="FS84" s="135"/>
      <c r="FT84" s="43"/>
      <c r="FU84" s="43"/>
      <c r="FV84" s="43"/>
      <c r="FW84" s="43"/>
      <c r="FX84" s="43"/>
      <c r="FY84" s="43"/>
      <c r="FZ84" s="43"/>
      <c r="GA84" s="43"/>
      <c r="GB84" s="43"/>
      <c r="GC84" s="43"/>
      <c r="GD84" s="135"/>
      <c r="GE84" s="135"/>
      <c r="GF84" s="43"/>
      <c r="GG84" s="43"/>
      <c r="GH84" s="43"/>
      <c r="GI84" s="43"/>
      <c r="GJ84" s="43"/>
      <c r="GK84" s="43"/>
      <c r="GL84" s="43"/>
      <c r="GM84" s="43"/>
      <c r="GN84" s="43"/>
      <c r="GO84" s="43"/>
      <c r="GP84" s="43"/>
      <c r="GQ84" s="43"/>
      <c r="GR84" s="43"/>
      <c r="GS84" s="43"/>
      <c r="GT84" s="43"/>
      <c r="GU84" s="43"/>
      <c r="GV84" s="43"/>
      <c r="GW84" s="43"/>
      <c r="GX84" s="45"/>
      <c r="GY84" s="45"/>
      <c r="GZ84" s="43"/>
      <c r="HA84" s="43"/>
      <c r="HB84" s="43"/>
      <c r="HC84" s="43"/>
      <c r="HD84" s="39">
        <f t="shared" si="76"/>
        <v>0</v>
      </c>
      <c r="HE84" s="39">
        <f t="shared" si="77"/>
        <v>0</v>
      </c>
      <c r="HF84" s="39"/>
      <c r="HG84" s="39"/>
      <c r="HH84" s="39"/>
      <c r="HI84" s="43"/>
      <c r="HJ84" s="43"/>
      <c r="HK84" s="43"/>
      <c r="HL84" s="43"/>
      <c r="HM84" s="43"/>
      <c r="HN84" s="136"/>
      <c r="HO84" s="136"/>
      <c r="HP84" s="39">
        <f t="shared" si="78"/>
        <v>0</v>
      </c>
      <c r="HQ84" s="39">
        <f t="shared" si="79"/>
        <v>0</v>
      </c>
      <c r="HR84" s="39"/>
      <c r="HS84" s="39"/>
      <c r="HT84" s="39"/>
      <c r="HU84" s="43"/>
      <c r="HV84" s="39"/>
      <c r="HW84" s="39"/>
      <c r="HX84" s="39">
        <f t="shared" si="80"/>
        <v>0</v>
      </c>
      <c r="HY84" s="39">
        <f t="shared" si="81"/>
        <v>0</v>
      </c>
    </row>
    <row r="85" spans="1:233" ht="12.75">
      <c r="A85" s="14" t="s">
        <v>252</v>
      </c>
      <c r="B85" s="34"/>
      <c r="C85" s="34"/>
      <c r="D85" s="39">
        <f>121+121+122+101+101+101+101+101+101+81+81+81</f>
        <v>1213</v>
      </c>
      <c r="E85" s="39">
        <f>121+121+122+101+101+101+101+101+101+81+81+81</f>
        <v>1213</v>
      </c>
      <c r="F85" s="34"/>
      <c r="G85" s="34"/>
      <c r="H85" s="34"/>
      <c r="I85" s="34"/>
      <c r="J85" s="34"/>
      <c r="K85" s="34"/>
      <c r="L85" s="34"/>
      <c r="M85" s="34"/>
      <c r="N85" s="34"/>
      <c r="O85" s="34"/>
      <c r="P85" s="51"/>
      <c r="Q85" s="51"/>
      <c r="R85" s="39">
        <v>890</v>
      </c>
      <c r="S85" s="39">
        <f>889.97181</f>
        <v>889.97181</v>
      </c>
      <c r="T85" s="39">
        <v>3604.3843500000003</v>
      </c>
      <c r="U85" s="39">
        <f>268.85375+3335.5306</f>
        <v>3604.3843500000003</v>
      </c>
      <c r="V85" s="39"/>
      <c r="W85" s="34"/>
      <c r="X85" s="34"/>
      <c r="Y85" s="34"/>
      <c r="Z85" s="51"/>
      <c r="AA85" s="51"/>
      <c r="AB85" s="34"/>
      <c r="AC85" s="34"/>
      <c r="AD85" s="34"/>
      <c r="AE85" s="34"/>
      <c r="AF85" s="39">
        <v>147</v>
      </c>
      <c r="AG85" s="39">
        <f>12.3+12.3+12.3+12.3+12.3+29+6+18.6+10.6+10+11.3</f>
        <v>147</v>
      </c>
      <c r="AH85" s="126">
        <f t="shared" si="65"/>
        <v>5854.38435</v>
      </c>
      <c r="AI85" s="126">
        <f t="shared" si="66"/>
        <v>5854.35616</v>
      </c>
      <c r="AJ85" s="43"/>
      <c r="AK85" s="43"/>
      <c r="AL85" s="134"/>
      <c r="AM85" s="41"/>
      <c r="AN85" s="41"/>
      <c r="AO85" s="41"/>
      <c r="AP85" s="41"/>
      <c r="AQ85" s="41"/>
      <c r="AR85" s="39"/>
      <c r="AS85" s="39"/>
      <c r="AT85" s="43"/>
      <c r="AU85" s="43"/>
      <c r="AV85" s="43"/>
      <c r="AW85" s="43"/>
      <c r="AX85" s="43"/>
      <c r="AY85" s="43"/>
      <c r="AZ85" s="39">
        <f t="shared" si="67"/>
        <v>0</v>
      </c>
      <c r="BA85" s="39">
        <f t="shared" si="61"/>
        <v>0</v>
      </c>
      <c r="BB85" s="39">
        <v>0</v>
      </c>
      <c r="BC85" s="39">
        <v>0</v>
      </c>
      <c r="BD85" s="39"/>
      <c r="BE85" s="43"/>
      <c r="BF85" s="43"/>
      <c r="BG85" s="43"/>
      <c r="BH85" s="43"/>
      <c r="BI85" s="43"/>
      <c r="BJ85" s="43"/>
      <c r="BK85" s="43"/>
      <c r="BL85" s="43"/>
      <c r="BM85" s="43"/>
      <c r="BN85" s="45"/>
      <c r="BO85" s="45"/>
      <c r="BP85" s="45"/>
      <c r="BQ85" s="45"/>
      <c r="BR85" s="43"/>
      <c r="BS85" s="43"/>
      <c r="BT85" s="43"/>
      <c r="BU85" s="43"/>
      <c r="BV85" s="45"/>
      <c r="BW85" s="45"/>
      <c r="BX85" s="43"/>
      <c r="BY85" s="45"/>
      <c r="BZ85" s="43"/>
      <c r="CA85" s="45"/>
      <c r="CB85" s="45"/>
      <c r="CC85" s="45"/>
      <c r="CD85" s="45"/>
      <c r="CE85" s="45"/>
      <c r="CF85" s="39">
        <f t="shared" si="68"/>
        <v>0</v>
      </c>
      <c r="CG85" s="39">
        <f t="shared" si="69"/>
        <v>0</v>
      </c>
      <c r="CH85" s="39"/>
      <c r="CI85" s="39"/>
      <c r="CJ85" s="39"/>
      <c r="CK85" s="45"/>
      <c r="CL85" s="45"/>
      <c r="CM85" s="43"/>
      <c r="CN85" s="43"/>
      <c r="CO85" s="43"/>
      <c r="CP85" s="43">
        <v>1703.41</v>
      </c>
      <c r="CQ85" s="43">
        <v>1703.41</v>
      </c>
      <c r="CR85" s="43">
        <v>1008.34</v>
      </c>
      <c r="CS85" s="43">
        <v>1008.34</v>
      </c>
      <c r="CT85" s="43"/>
      <c r="CU85" s="45"/>
      <c r="CV85" s="45"/>
      <c r="CW85" s="43"/>
      <c r="CX85" s="43"/>
      <c r="CY85" s="43"/>
      <c r="CZ85" s="39"/>
      <c r="DA85" s="45"/>
      <c r="DB85" s="43"/>
      <c r="DC85" s="43"/>
      <c r="DD85" s="43"/>
      <c r="DE85" s="43"/>
      <c r="DF85" s="39">
        <f t="shared" si="70"/>
        <v>2711.75</v>
      </c>
      <c r="DG85" s="39">
        <f t="shared" si="71"/>
        <v>2711.75</v>
      </c>
      <c r="DH85" s="39"/>
      <c r="DI85" s="39"/>
      <c r="DJ85" s="39">
        <v>0</v>
      </c>
      <c r="DK85" s="39">
        <f t="shared" si="62"/>
        <v>0</v>
      </c>
      <c r="DL85" s="39"/>
      <c r="DM85" s="39"/>
      <c r="DN85" s="43"/>
      <c r="DO85" s="43"/>
      <c r="DP85" s="39">
        <f t="shared" si="72"/>
        <v>0</v>
      </c>
      <c r="DQ85" s="39">
        <f t="shared" si="63"/>
        <v>0</v>
      </c>
      <c r="DR85" s="39"/>
      <c r="DS85" s="39"/>
      <c r="DT85" s="43"/>
      <c r="DU85" s="43"/>
      <c r="DV85" s="43"/>
      <c r="DW85" s="43"/>
      <c r="DX85" s="43"/>
      <c r="DY85" s="43"/>
      <c r="DZ85" s="39"/>
      <c r="EA85" s="39"/>
      <c r="EB85" s="43"/>
      <c r="EC85" s="43"/>
      <c r="ED85" s="43"/>
      <c r="EE85" s="43"/>
      <c r="EF85" s="39">
        <v>940</v>
      </c>
      <c r="EG85" s="43">
        <v>940</v>
      </c>
      <c r="EH85" s="43">
        <v>1908.7</v>
      </c>
      <c r="EI85" s="39">
        <v>1908.7</v>
      </c>
      <c r="EJ85" s="39">
        <v>211</v>
      </c>
      <c r="EK85" s="43">
        <v>207.2</v>
      </c>
      <c r="EL85" s="43"/>
      <c r="EM85" s="43"/>
      <c r="EN85" s="45"/>
      <c r="EO85" s="45"/>
      <c r="EP85" s="43"/>
      <c r="EQ85" s="43"/>
      <c r="ER85" s="43"/>
      <c r="ES85" s="43"/>
      <c r="ET85" s="135"/>
      <c r="EU85" s="135"/>
      <c r="EV85" s="135"/>
      <c r="EW85" s="135"/>
      <c r="EX85" s="43">
        <v>100</v>
      </c>
      <c r="EY85" s="43">
        <v>100</v>
      </c>
      <c r="EZ85" s="43"/>
      <c r="FA85" s="43"/>
      <c r="FB85" s="37">
        <f t="shared" si="73"/>
        <v>3159.7</v>
      </c>
      <c r="FC85" s="37">
        <f t="shared" si="74"/>
        <v>3155.9</v>
      </c>
      <c r="FD85" s="39"/>
      <c r="FE85" s="39"/>
      <c r="FF85" s="43"/>
      <c r="FG85" s="43"/>
      <c r="FH85" s="132">
        <f t="shared" si="75"/>
        <v>0</v>
      </c>
      <c r="FI85" s="132">
        <f t="shared" si="64"/>
        <v>0</v>
      </c>
      <c r="FJ85" s="39"/>
      <c r="FK85" s="39"/>
      <c r="FL85" s="43"/>
      <c r="FM85" s="43"/>
      <c r="FN85" s="43"/>
      <c r="FO85" s="43"/>
      <c r="FP85" s="43"/>
      <c r="FQ85" s="43"/>
      <c r="FR85" s="39"/>
      <c r="FS85" s="135"/>
      <c r="FT85" s="43"/>
      <c r="FU85" s="43"/>
      <c r="FV85" s="43"/>
      <c r="FW85" s="43"/>
      <c r="FX85" s="43"/>
      <c r="FY85" s="43"/>
      <c r="FZ85" s="43"/>
      <c r="GA85" s="43"/>
      <c r="GB85" s="43"/>
      <c r="GC85" s="43"/>
      <c r="GD85" s="135"/>
      <c r="GE85" s="135"/>
      <c r="GF85" s="43"/>
      <c r="GG85" s="43"/>
      <c r="GH85" s="43"/>
      <c r="GI85" s="43"/>
      <c r="GJ85" s="43"/>
      <c r="GK85" s="43"/>
      <c r="GL85" s="43"/>
      <c r="GM85" s="43"/>
      <c r="GN85" s="43"/>
      <c r="GO85" s="43"/>
      <c r="GP85" s="43"/>
      <c r="GQ85" s="43"/>
      <c r="GR85" s="43"/>
      <c r="GS85" s="43"/>
      <c r="GT85" s="43"/>
      <c r="GU85" s="43"/>
      <c r="GV85" s="43"/>
      <c r="GW85" s="43"/>
      <c r="GX85" s="45"/>
      <c r="GY85" s="45"/>
      <c r="GZ85" s="43"/>
      <c r="HA85" s="43"/>
      <c r="HB85" s="43"/>
      <c r="HC85" s="43"/>
      <c r="HD85" s="39">
        <f t="shared" si="76"/>
        <v>0</v>
      </c>
      <c r="HE85" s="39">
        <f t="shared" si="77"/>
        <v>0</v>
      </c>
      <c r="HF85" s="39"/>
      <c r="HG85" s="39"/>
      <c r="HH85" s="39"/>
      <c r="HI85" s="43"/>
      <c r="HJ85" s="43"/>
      <c r="HK85" s="43"/>
      <c r="HL85" s="43"/>
      <c r="HM85" s="43"/>
      <c r="HN85" s="136"/>
      <c r="HO85" s="136"/>
      <c r="HP85" s="39">
        <f t="shared" si="78"/>
        <v>0</v>
      </c>
      <c r="HQ85" s="39">
        <f t="shared" si="79"/>
        <v>0</v>
      </c>
      <c r="HR85" s="39"/>
      <c r="HS85" s="39"/>
      <c r="HT85" s="39"/>
      <c r="HU85" s="43"/>
      <c r="HV85" s="39"/>
      <c r="HW85" s="39"/>
      <c r="HX85" s="39">
        <f t="shared" si="80"/>
        <v>0</v>
      </c>
      <c r="HY85" s="39">
        <f t="shared" si="81"/>
        <v>0</v>
      </c>
    </row>
    <row r="86" spans="1:233" ht="12.75" customHeight="1">
      <c r="A86" s="14" t="s">
        <v>253</v>
      </c>
      <c r="B86" s="34"/>
      <c r="C86" s="34"/>
      <c r="D86" s="39">
        <f>133+133+134+111+111+111+111+111+111+88.7+88.7+88.6</f>
        <v>1332</v>
      </c>
      <c r="E86" s="39">
        <f>133+133+134+111+111+111+111+111+111+88.7+88.7+88.6</f>
        <v>1332</v>
      </c>
      <c r="F86" s="34"/>
      <c r="G86" s="34"/>
      <c r="H86" s="34"/>
      <c r="I86" s="34"/>
      <c r="J86" s="34"/>
      <c r="K86" s="34"/>
      <c r="L86" s="34"/>
      <c r="M86" s="34"/>
      <c r="N86" s="34"/>
      <c r="O86" s="34"/>
      <c r="P86" s="34"/>
      <c r="Q86" s="34"/>
      <c r="R86" s="39"/>
      <c r="S86" s="39"/>
      <c r="T86" s="39">
        <v>0.06861</v>
      </c>
      <c r="U86" s="39">
        <v>0.06861</v>
      </c>
      <c r="V86" s="39">
        <v>99</v>
      </c>
      <c r="W86" s="39">
        <f>40+59</f>
        <v>99</v>
      </c>
      <c r="X86" s="34"/>
      <c r="Y86" s="34"/>
      <c r="Z86" s="34"/>
      <c r="AA86" s="34"/>
      <c r="AB86" s="34"/>
      <c r="AC86" s="34"/>
      <c r="AD86" s="34"/>
      <c r="AE86" s="34"/>
      <c r="AF86" s="39">
        <v>147</v>
      </c>
      <c r="AG86" s="39">
        <f>12.3+12.3+12.3+12.3+12.3+0.3+21.5+10.4+11.4+10.6+11+20.3</f>
        <v>147</v>
      </c>
      <c r="AH86" s="126">
        <f t="shared" si="65"/>
        <v>1578.06861</v>
      </c>
      <c r="AI86" s="126">
        <f t="shared" si="66"/>
        <v>1578.06861</v>
      </c>
      <c r="AJ86" s="43"/>
      <c r="AK86" s="43"/>
      <c r="AL86" s="134"/>
      <c r="AM86" s="41"/>
      <c r="AN86" s="41"/>
      <c r="AO86" s="41"/>
      <c r="AP86" s="41"/>
      <c r="AQ86" s="41"/>
      <c r="AR86" s="39"/>
      <c r="AS86" s="39"/>
      <c r="AT86" s="43"/>
      <c r="AU86" s="43"/>
      <c r="AV86" s="43"/>
      <c r="AW86" s="43"/>
      <c r="AX86" s="43"/>
      <c r="AY86" s="43"/>
      <c r="AZ86" s="39">
        <f t="shared" si="67"/>
        <v>0</v>
      </c>
      <c r="BA86" s="39">
        <f t="shared" si="61"/>
        <v>0</v>
      </c>
      <c r="BB86" s="39">
        <v>0</v>
      </c>
      <c r="BC86" s="39">
        <v>0</v>
      </c>
      <c r="BD86" s="39"/>
      <c r="BE86" s="43"/>
      <c r="BF86" s="43"/>
      <c r="BG86" s="43"/>
      <c r="BH86" s="43"/>
      <c r="BI86" s="43"/>
      <c r="BJ86" s="43"/>
      <c r="BK86" s="43"/>
      <c r="BL86" s="43"/>
      <c r="BM86" s="43"/>
      <c r="BN86" s="45"/>
      <c r="BO86" s="45"/>
      <c r="BP86" s="45"/>
      <c r="BQ86" s="45"/>
      <c r="BR86" s="43"/>
      <c r="BS86" s="43"/>
      <c r="BT86" s="43"/>
      <c r="BU86" s="43"/>
      <c r="BV86" s="45"/>
      <c r="BW86" s="45"/>
      <c r="BX86" s="43"/>
      <c r="BY86" s="45"/>
      <c r="BZ86" s="43"/>
      <c r="CA86" s="45"/>
      <c r="CB86" s="45"/>
      <c r="CC86" s="45"/>
      <c r="CD86" s="45"/>
      <c r="CE86" s="45"/>
      <c r="CF86" s="39">
        <f t="shared" si="68"/>
        <v>0</v>
      </c>
      <c r="CG86" s="39">
        <f t="shared" si="69"/>
        <v>0</v>
      </c>
      <c r="CH86" s="39"/>
      <c r="CI86" s="39"/>
      <c r="CJ86" s="39"/>
      <c r="CK86" s="45"/>
      <c r="CL86" s="45"/>
      <c r="CM86" s="43"/>
      <c r="CN86" s="43"/>
      <c r="CO86" s="43"/>
      <c r="CP86" s="43"/>
      <c r="CQ86" s="39"/>
      <c r="CR86" s="43"/>
      <c r="CS86" s="45"/>
      <c r="CT86" s="45"/>
      <c r="CU86" s="45"/>
      <c r="CV86" s="45"/>
      <c r="CW86" s="43"/>
      <c r="CX86" s="43"/>
      <c r="CY86" s="43"/>
      <c r="CZ86" s="39"/>
      <c r="DA86" s="45"/>
      <c r="DB86" s="43"/>
      <c r="DC86" s="43"/>
      <c r="DD86" s="43"/>
      <c r="DE86" s="43"/>
      <c r="DF86" s="39">
        <f t="shared" si="70"/>
        <v>0</v>
      </c>
      <c r="DG86" s="39">
        <f t="shared" si="71"/>
        <v>0</v>
      </c>
      <c r="DH86" s="39"/>
      <c r="DI86" s="39"/>
      <c r="DJ86" s="39">
        <v>0</v>
      </c>
      <c r="DK86" s="39">
        <f t="shared" si="62"/>
        <v>0</v>
      </c>
      <c r="DL86" s="39"/>
      <c r="DM86" s="39"/>
      <c r="DN86" s="43"/>
      <c r="DO86" s="43"/>
      <c r="DP86" s="39">
        <f t="shared" si="72"/>
        <v>0</v>
      </c>
      <c r="DQ86" s="39">
        <f t="shared" si="63"/>
        <v>0</v>
      </c>
      <c r="DR86" s="39"/>
      <c r="DS86" s="39"/>
      <c r="DT86" s="43"/>
      <c r="DU86" s="43"/>
      <c r="DV86" s="43"/>
      <c r="DW86" s="43"/>
      <c r="DX86" s="43"/>
      <c r="DY86" s="43"/>
      <c r="DZ86" s="39"/>
      <c r="EA86" s="39"/>
      <c r="EB86" s="43"/>
      <c r="EC86" s="43"/>
      <c r="ED86" s="43"/>
      <c r="EE86" s="43"/>
      <c r="EF86" s="39"/>
      <c r="EG86" s="43"/>
      <c r="EH86" s="43">
        <v>950.8</v>
      </c>
      <c r="EI86" s="39">
        <v>950.8</v>
      </c>
      <c r="EJ86" s="39">
        <v>22</v>
      </c>
      <c r="EK86" s="43">
        <v>22</v>
      </c>
      <c r="EL86" s="43"/>
      <c r="EM86" s="43"/>
      <c r="EN86" s="45"/>
      <c r="EO86" s="45"/>
      <c r="EP86" s="43"/>
      <c r="EQ86" s="43"/>
      <c r="ER86" s="43"/>
      <c r="ES86" s="43"/>
      <c r="ET86" s="135"/>
      <c r="EU86" s="135"/>
      <c r="EV86" s="135"/>
      <c r="EW86" s="135"/>
      <c r="EX86" s="43"/>
      <c r="EY86" s="43"/>
      <c r="EZ86" s="43"/>
      <c r="FA86" s="43"/>
      <c r="FB86" s="37">
        <f t="shared" si="73"/>
        <v>972.8</v>
      </c>
      <c r="FC86" s="37">
        <f t="shared" si="74"/>
        <v>972.8</v>
      </c>
      <c r="FD86" s="39"/>
      <c r="FE86" s="39"/>
      <c r="FF86" s="43"/>
      <c r="FG86" s="43"/>
      <c r="FH86" s="132">
        <f t="shared" si="75"/>
        <v>0</v>
      </c>
      <c r="FI86" s="132">
        <f t="shared" si="64"/>
        <v>0</v>
      </c>
      <c r="FJ86" s="39"/>
      <c r="FK86" s="39"/>
      <c r="FL86" s="43"/>
      <c r="FM86" s="43"/>
      <c r="FN86" s="43"/>
      <c r="FO86" s="43"/>
      <c r="FP86" s="43"/>
      <c r="FQ86" s="43"/>
      <c r="FR86" s="39"/>
      <c r="FS86" s="135"/>
      <c r="FT86" s="43"/>
      <c r="FU86" s="43"/>
      <c r="FV86" s="43"/>
      <c r="FW86" s="43"/>
      <c r="FX86" s="43"/>
      <c r="FY86" s="43"/>
      <c r="FZ86" s="43"/>
      <c r="GA86" s="43"/>
      <c r="GB86" s="43"/>
      <c r="GC86" s="43"/>
      <c r="GD86" s="135"/>
      <c r="GE86" s="135"/>
      <c r="GF86" s="43"/>
      <c r="GG86" s="43"/>
      <c r="GH86" s="43"/>
      <c r="GI86" s="43"/>
      <c r="GJ86" s="43"/>
      <c r="GK86" s="43"/>
      <c r="GL86" s="43"/>
      <c r="GM86" s="43"/>
      <c r="GN86" s="43"/>
      <c r="GO86" s="43"/>
      <c r="GP86" s="43"/>
      <c r="GQ86" s="43"/>
      <c r="GR86" s="43"/>
      <c r="GS86" s="43"/>
      <c r="GT86" s="43"/>
      <c r="GU86" s="43"/>
      <c r="GV86" s="43"/>
      <c r="GW86" s="43"/>
      <c r="GX86" s="45"/>
      <c r="GY86" s="45"/>
      <c r="GZ86" s="43"/>
      <c r="HA86" s="43"/>
      <c r="HB86" s="43"/>
      <c r="HC86" s="43"/>
      <c r="HD86" s="39">
        <f t="shared" si="76"/>
        <v>0</v>
      </c>
      <c r="HE86" s="39">
        <f t="shared" si="77"/>
        <v>0</v>
      </c>
      <c r="HF86" s="39"/>
      <c r="HG86" s="39"/>
      <c r="HH86" s="39"/>
      <c r="HI86" s="43"/>
      <c r="HJ86" s="43"/>
      <c r="HK86" s="43"/>
      <c r="HL86" s="43"/>
      <c r="HM86" s="43"/>
      <c r="HN86" s="136"/>
      <c r="HO86" s="136"/>
      <c r="HP86" s="39">
        <f t="shared" si="78"/>
        <v>0</v>
      </c>
      <c r="HQ86" s="39">
        <f t="shared" si="79"/>
        <v>0</v>
      </c>
      <c r="HR86" s="39"/>
      <c r="HS86" s="39"/>
      <c r="HT86" s="39"/>
      <c r="HU86" s="43"/>
      <c r="HV86" s="39"/>
      <c r="HW86" s="39"/>
      <c r="HX86" s="39">
        <f t="shared" si="80"/>
        <v>0</v>
      </c>
      <c r="HY86" s="39">
        <f t="shared" si="81"/>
        <v>0</v>
      </c>
    </row>
    <row r="87" spans="1:233" ht="12.75">
      <c r="A87" s="14" t="s">
        <v>254</v>
      </c>
      <c r="B87" s="34"/>
      <c r="C87" s="34"/>
      <c r="D87" s="39">
        <f>125+125+125+104+104+104+104+104+104+83.3+83.4+83.3</f>
        <v>1249</v>
      </c>
      <c r="E87" s="39">
        <f>125+125+125+104+104+104+104+104+104+83.3+83.4+83.3</f>
        <v>1249</v>
      </c>
      <c r="F87" s="34"/>
      <c r="G87" s="34"/>
      <c r="H87" s="34"/>
      <c r="I87" s="34"/>
      <c r="J87" s="34">
        <v>1583.3</v>
      </c>
      <c r="K87" s="34">
        <v>1583.3</v>
      </c>
      <c r="L87" s="34"/>
      <c r="M87" s="34"/>
      <c r="N87" s="34"/>
      <c r="O87" s="34"/>
      <c r="P87" s="34"/>
      <c r="Q87" s="34"/>
      <c r="R87" s="39"/>
      <c r="S87" s="39"/>
      <c r="T87" s="39">
        <v>4.21498</v>
      </c>
      <c r="U87" s="39">
        <v>4.21498</v>
      </c>
      <c r="V87" s="39"/>
      <c r="W87" s="34"/>
      <c r="X87" s="34"/>
      <c r="Y87" s="34"/>
      <c r="Z87" s="34"/>
      <c r="AA87" s="34"/>
      <c r="AB87" s="34"/>
      <c r="AC87" s="34"/>
      <c r="AD87" s="34"/>
      <c r="AE87" s="34"/>
      <c r="AF87" s="39">
        <v>147</v>
      </c>
      <c r="AG87" s="39">
        <f>12.3+12.3+12.3+12.3+12.3+3.9+20.7+25.6+9.7+8+17.6</f>
        <v>147.00000000000003</v>
      </c>
      <c r="AH87" s="126">
        <f t="shared" si="65"/>
        <v>2983.5149800000004</v>
      </c>
      <c r="AI87" s="126">
        <f t="shared" si="66"/>
        <v>2983.5149800000004</v>
      </c>
      <c r="AJ87" s="43"/>
      <c r="AK87" s="43"/>
      <c r="AL87" s="134"/>
      <c r="AM87" s="41"/>
      <c r="AN87" s="41"/>
      <c r="AO87" s="41"/>
      <c r="AP87" s="41"/>
      <c r="AQ87" s="41"/>
      <c r="AR87" s="39"/>
      <c r="AS87" s="39"/>
      <c r="AT87" s="43"/>
      <c r="AU87" s="43"/>
      <c r="AV87" s="43"/>
      <c r="AW87" s="43"/>
      <c r="AX87" s="43"/>
      <c r="AY87" s="43"/>
      <c r="AZ87" s="39">
        <f t="shared" si="67"/>
        <v>0</v>
      </c>
      <c r="BA87" s="39">
        <f t="shared" si="61"/>
        <v>0</v>
      </c>
      <c r="BB87" s="39">
        <v>0</v>
      </c>
      <c r="BC87" s="39">
        <v>0</v>
      </c>
      <c r="BD87" s="39"/>
      <c r="BE87" s="43"/>
      <c r="BF87" s="43"/>
      <c r="BG87" s="43"/>
      <c r="BH87" s="43"/>
      <c r="BI87" s="43"/>
      <c r="BJ87" s="43"/>
      <c r="BK87" s="43"/>
      <c r="BL87" s="43"/>
      <c r="BM87" s="43"/>
      <c r="BN87" s="45"/>
      <c r="BO87" s="45"/>
      <c r="BP87" s="45"/>
      <c r="BQ87" s="45"/>
      <c r="BR87" s="43"/>
      <c r="BS87" s="43"/>
      <c r="BT87" s="43"/>
      <c r="BU87" s="43"/>
      <c r="BV87" s="45"/>
      <c r="BW87" s="45"/>
      <c r="BX87" s="43"/>
      <c r="BY87" s="45"/>
      <c r="BZ87" s="43"/>
      <c r="CA87" s="45"/>
      <c r="CB87" s="45"/>
      <c r="CC87" s="45"/>
      <c r="CD87" s="45"/>
      <c r="CE87" s="45"/>
      <c r="CF87" s="39">
        <f t="shared" si="68"/>
        <v>0</v>
      </c>
      <c r="CG87" s="39">
        <f t="shared" si="69"/>
        <v>0</v>
      </c>
      <c r="CH87" s="39"/>
      <c r="CI87" s="39"/>
      <c r="CJ87" s="39"/>
      <c r="CK87" s="45"/>
      <c r="CL87" s="45"/>
      <c r="CM87" s="43"/>
      <c r="CN87" s="43"/>
      <c r="CO87" s="43"/>
      <c r="CP87" s="43"/>
      <c r="CQ87" s="39"/>
      <c r="CR87" s="43"/>
      <c r="CS87" s="45"/>
      <c r="CT87" s="45"/>
      <c r="CU87" s="45"/>
      <c r="CV87" s="45"/>
      <c r="CW87" s="43"/>
      <c r="CX87" s="43"/>
      <c r="CY87" s="43"/>
      <c r="CZ87" s="39"/>
      <c r="DA87" s="45"/>
      <c r="DB87" s="43"/>
      <c r="DC87" s="43"/>
      <c r="DD87" s="43"/>
      <c r="DE87" s="43"/>
      <c r="DF87" s="39">
        <f t="shared" si="70"/>
        <v>0</v>
      </c>
      <c r="DG87" s="39">
        <f t="shared" si="71"/>
        <v>0</v>
      </c>
      <c r="DH87" s="39"/>
      <c r="DI87" s="39"/>
      <c r="DJ87" s="39">
        <v>0</v>
      </c>
      <c r="DK87" s="39">
        <f t="shared" si="62"/>
        <v>0</v>
      </c>
      <c r="DL87" s="39"/>
      <c r="DM87" s="39"/>
      <c r="DN87" s="43"/>
      <c r="DO87" s="43"/>
      <c r="DP87" s="39">
        <f t="shared" si="72"/>
        <v>0</v>
      </c>
      <c r="DQ87" s="39">
        <f t="shared" si="63"/>
        <v>0</v>
      </c>
      <c r="DR87" s="39"/>
      <c r="DS87" s="39"/>
      <c r="DT87" s="43"/>
      <c r="DU87" s="43"/>
      <c r="DV87" s="43"/>
      <c r="DW87" s="43"/>
      <c r="DX87" s="43"/>
      <c r="DY87" s="43"/>
      <c r="DZ87" s="39"/>
      <c r="EA87" s="39"/>
      <c r="EB87" s="43"/>
      <c r="EC87" s="43"/>
      <c r="ED87" s="43"/>
      <c r="EE87" s="43"/>
      <c r="EF87" s="39"/>
      <c r="EG87" s="43"/>
      <c r="EH87" s="43">
        <v>651</v>
      </c>
      <c r="EI87" s="39">
        <v>651</v>
      </c>
      <c r="EJ87" s="39">
        <v>40</v>
      </c>
      <c r="EK87" s="43">
        <v>40</v>
      </c>
      <c r="EL87" s="43"/>
      <c r="EM87" s="43"/>
      <c r="EN87" s="45"/>
      <c r="EO87" s="45"/>
      <c r="EP87" s="43"/>
      <c r="EQ87" s="43"/>
      <c r="ER87" s="43"/>
      <c r="ES87" s="43"/>
      <c r="ET87" s="135"/>
      <c r="EU87" s="135"/>
      <c r="EV87" s="135"/>
      <c r="EW87" s="135"/>
      <c r="EX87" s="43"/>
      <c r="EY87" s="43"/>
      <c r="EZ87" s="43"/>
      <c r="FA87" s="43"/>
      <c r="FB87" s="37">
        <f t="shared" si="73"/>
        <v>691</v>
      </c>
      <c r="FC87" s="37">
        <f t="shared" si="74"/>
        <v>691</v>
      </c>
      <c r="FD87" s="39"/>
      <c r="FE87" s="39"/>
      <c r="FF87" s="43"/>
      <c r="FG87" s="43"/>
      <c r="FH87" s="132">
        <f t="shared" si="75"/>
        <v>0</v>
      </c>
      <c r="FI87" s="132">
        <f t="shared" si="64"/>
        <v>0</v>
      </c>
      <c r="FJ87" s="39"/>
      <c r="FK87" s="39"/>
      <c r="FL87" s="43"/>
      <c r="FM87" s="43"/>
      <c r="FN87" s="43"/>
      <c r="FO87" s="43"/>
      <c r="FP87" s="43"/>
      <c r="FQ87" s="43"/>
      <c r="FR87" s="39"/>
      <c r="FS87" s="135"/>
      <c r="FT87" s="43"/>
      <c r="FU87" s="43"/>
      <c r="FV87" s="43"/>
      <c r="FW87" s="43"/>
      <c r="FX87" s="43"/>
      <c r="FY87" s="43"/>
      <c r="FZ87" s="43"/>
      <c r="GA87" s="43"/>
      <c r="GB87" s="43"/>
      <c r="GC87" s="43"/>
      <c r="GD87" s="135"/>
      <c r="GE87" s="135"/>
      <c r="GF87" s="43"/>
      <c r="GG87" s="43"/>
      <c r="GH87" s="43"/>
      <c r="GI87" s="43"/>
      <c r="GJ87" s="43"/>
      <c r="GK87" s="43"/>
      <c r="GL87" s="43"/>
      <c r="GM87" s="43"/>
      <c r="GN87" s="43"/>
      <c r="GO87" s="43"/>
      <c r="GP87" s="43"/>
      <c r="GQ87" s="43"/>
      <c r="GR87" s="43"/>
      <c r="GS87" s="43"/>
      <c r="GT87" s="43"/>
      <c r="GU87" s="43"/>
      <c r="GV87" s="43"/>
      <c r="GW87" s="43"/>
      <c r="GX87" s="45"/>
      <c r="GY87" s="45"/>
      <c r="GZ87" s="43"/>
      <c r="HA87" s="43"/>
      <c r="HB87" s="43"/>
      <c r="HC87" s="43"/>
      <c r="HD87" s="39">
        <f t="shared" si="76"/>
        <v>0</v>
      </c>
      <c r="HE87" s="39">
        <f t="shared" si="77"/>
        <v>0</v>
      </c>
      <c r="HF87" s="39"/>
      <c r="HG87" s="39"/>
      <c r="HH87" s="39"/>
      <c r="HI87" s="43"/>
      <c r="HJ87" s="43"/>
      <c r="HK87" s="43"/>
      <c r="HL87" s="43"/>
      <c r="HM87" s="43"/>
      <c r="HN87" s="136"/>
      <c r="HO87" s="136"/>
      <c r="HP87" s="39">
        <f t="shared" si="78"/>
        <v>0</v>
      </c>
      <c r="HQ87" s="39">
        <f t="shared" si="79"/>
        <v>0</v>
      </c>
      <c r="HR87" s="39"/>
      <c r="HS87" s="39"/>
      <c r="HT87" s="39"/>
      <c r="HU87" s="43"/>
      <c r="HV87" s="39"/>
      <c r="HW87" s="39"/>
      <c r="HX87" s="39">
        <f t="shared" si="80"/>
        <v>0</v>
      </c>
      <c r="HY87" s="39">
        <f t="shared" si="81"/>
        <v>0</v>
      </c>
    </row>
    <row r="88" spans="1:233" ht="12.75" customHeight="1">
      <c r="A88" s="14" t="s">
        <v>255</v>
      </c>
      <c r="B88" s="34"/>
      <c r="C88" s="34"/>
      <c r="D88" s="39">
        <f>451+451+452+376+376+376+376+376+376+300.7+300.7+300.6</f>
        <v>4512</v>
      </c>
      <c r="E88" s="39">
        <f>451+451+452+376+376+376+376+376+376+300.7+300.7+300.6</f>
        <v>4512</v>
      </c>
      <c r="F88" s="34"/>
      <c r="G88" s="34"/>
      <c r="H88" s="34"/>
      <c r="I88" s="34"/>
      <c r="J88" s="34"/>
      <c r="K88" s="34"/>
      <c r="L88" s="34"/>
      <c r="M88" s="34"/>
      <c r="N88" s="34"/>
      <c r="O88" s="34"/>
      <c r="P88" s="51"/>
      <c r="Q88" s="51"/>
      <c r="R88" s="39">
        <v>90</v>
      </c>
      <c r="S88" s="39">
        <f>90</f>
        <v>90</v>
      </c>
      <c r="T88" s="39">
        <v>30.5136</v>
      </c>
      <c r="U88" s="39">
        <v>30.5136</v>
      </c>
      <c r="V88" s="39">
        <v>182.25</v>
      </c>
      <c r="W88" s="39">
        <f>4.5+21.5+57.5+22.25+16.5+60</f>
        <v>182.25</v>
      </c>
      <c r="X88" s="34"/>
      <c r="Y88" s="34"/>
      <c r="Z88" s="51"/>
      <c r="AA88" s="51"/>
      <c r="AB88" s="34"/>
      <c r="AC88" s="34"/>
      <c r="AD88" s="34"/>
      <c r="AE88" s="34"/>
      <c r="AF88" s="39">
        <v>147</v>
      </c>
      <c r="AG88" s="39">
        <f>12.3+12.3+12.3+12.3+12.3+36.8+10.6+11+27.1</f>
        <v>147</v>
      </c>
      <c r="AH88" s="126">
        <f t="shared" si="65"/>
        <v>4961.7636</v>
      </c>
      <c r="AI88" s="126">
        <f t="shared" si="66"/>
        <v>4961.7636</v>
      </c>
      <c r="AJ88" s="43"/>
      <c r="AK88" s="43"/>
      <c r="AL88" s="134"/>
      <c r="AM88" s="41"/>
      <c r="AN88" s="41"/>
      <c r="AO88" s="41"/>
      <c r="AP88" s="41"/>
      <c r="AQ88" s="41"/>
      <c r="AR88" s="39"/>
      <c r="AS88" s="39"/>
      <c r="AT88" s="43"/>
      <c r="AU88" s="43"/>
      <c r="AV88" s="43"/>
      <c r="AW88" s="43"/>
      <c r="AX88" s="43"/>
      <c r="AY88" s="43"/>
      <c r="AZ88" s="39">
        <f t="shared" si="67"/>
        <v>0</v>
      </c>
      <c r="BA88" s="39">
        <f t="shared" si="61"/>
        <v>0</v>
      </c>
      <c r="BB88" s="39">
        <v>0</v>
      </c>
      <c r="BC88" s="39">
        <v>0</v>
      </c>
      <c r="BD88" s="39"/>
      <c r="BE88" s="43"/>
      <c r="BF88" s="43"/>
      <c r="BG88" s="43"/>
      <c r="BH88" s="43"/>
      <c r="BI88" s="43"/>
      <c r="BJ88" s="43"/>
      <c r="BK88" s="43"/>
      <c r="BL88" s="43"/>
      <c r="BM88" s="43"/>
      <c r="BN88" s="45"/>
      <c r="BO88" s="45"/>
      <c r="BP88" s="45"/>
      <c r="BQ88" s="45"/>
      <c r="BR88" s="43"/>
      <c r="BS88" s="43"/>
      <c r="BT88" s="43">
        <v>155</v>
      </c>
      <c r="BU88" s="43">
        <v>155</v>
      </c>
      <c r="BV88" s="43">
        <v>180.1</v>
      </c>
      <c r="BW88" s="43">
        <v>180.1</v>
      </c>
      <c r="BX88" s="43"/>
      <c r="BY88" s="45"/>
      <c r="BZ88" s="43"/>
      <c r="CA88" s="45"/>
      <c r="CB88" s="45"/>
      <c r="CC88" s="45"/>
      <c r="CD88" s="45"/>
      <c r="CE88" s="45"/>
      <c r="CF88" s="39">
        <f t="shared" si="68"/>
        <v>335.1</v>
      </c>
      <c r="CG88" s="39">
        <f t="shared" si="69"/>
        <v>335.1</v>
      </c>
      <c r="CH88" s="39"/>
      <c r="CI88" s="39"/>
      <c r="CJ88" s="39"/>
      <c r="CK88" s="45"/>
      <c r="CL88" s="45"/>
      <c r="CM88" s="43"/>
      <c r="CN88" s="43"/>
      <c r="CO88" s="43"/>
      <c r="CP88" s="43"/>
      <c r="CQ88" s="39"/>
      <c r="CR88" s="43"/>
      <c r="CS88" s="45"/>
      <c r="CT88" s="45"/>
      <c r="CU88" s="45"/>
      <c r="CV88" s="45"/>
      <c r="CW88" s="43"/>
      <c r="CX88" s="43"/>
      <c r="CY88" s="43"/>
      <c r="CZ88" s="39"/>
      <c r="DA88" s="45"/>
      <c r="DB88" s="43"/>
      <c r="DC88" s="43"/>
      <c r="DD88" s="43"/>
      <c r="DE88" s="43"/>
      <c r="DF88" s="39">
        <f t="shared" si="70"/>
        <v>0</v>
      </c>
      <c r="DG88" s="39">
        <f t="shared" si="71"/>
        <v>0</v>
      </c>
      <c r="DH88" s="39"/>
      <c r="DI88" s="39"/>
      <c r="DJ88" s="39">
        <v>0</v>
      </c>
      <c r="DK88" s="39">
        <f t="shared" si="62"/>
        <v>0</v>
      </c>
      <c r="DL88" s="39"/>
      <c r="DM88" s="39"/>
      <c r="DN88" s="43"/>
      <c r="DO88" s="43"/>
      <c r="DP88" s="39">
        <f t="shared" si="72"/>
        <v>0</v>
      </c>
      <c r="DQ88" s="39">
        <f t="shared" si="63"/>
        <v>0</v>
      </c>
      <c r="DR88" s="39"/>
      <c r="DS88" s="39"/>
      <c r="DT88" s="43"/>
      <c r="DU88" s="43"/>
      <c r="DV88" s="43"/>
      <c r="DW88" s="43"/>
      <c r="DX88" s="43"/>
      <c r="DY88" s="43"/>
      <c r="DZ88" s="39"/>
      <c r="EA88" s="39"/>
      <c r="EB88" s="43"/>
      <c r="EC88" s="43"/>
      <c r="ED88" s="43"/>
      <c r="EE88" s="43"/>
      <c r="EF88" s="39"/>
      <c r="EG88" s="43"/>
      <c r="EH88" s="43">
        <v>746.2</v>
      </c>
      <c r="EI88" s="39">
        <v>746.2</v>
      </c>
      <c r="EJ88" s="39">
        <v>171</v>
      </c>
      <c r="EK88" s="43">
        <v>150</v>
      </c>
      <c r="EL88" s="43"/>
      <c r="EM88" s="43"/>
      <c r="EN88" s="45"/>
      <c r="EO88" s="45"/>
      <c r="EP88" s="43"/>
      <c r="EQ88" s="43"/>
      <c r="ER88" s="43"/>
      <c r="ES88" s="43"/>
      <c r="ET88" s="135"/>
      <c r="EU88" s="135"/>
      <c r="EV88" s="135"/>
      <c r="EW88" s="135"/>
      <c r="EX88" s="43"/>
      <c r="EY88" s="43"/>
      <c r="EZ88" s="43"/>
      <c r="FA88" s="43"/>
      <c r="FB88" s="37">
        <f t="shared" si="73"/>
        <v>917.2</v>
      </c>
      <c r="FC88" s="37">
        <f t="shared" si="74"/>
        <v>896.2</v>
      </c>
      <c r="FD88" s="39"/>
      <c r="FE88" s="39"/>
      <c r="FF88" s="43"/>
      <c r="FG88" s="43"/>
      <c r="FH88" s="132">
        <f t="shared" si="75"/>
        <v>0</v>
      </c>
      <c r="FI88" s="132">
        <f t="shared" si="64"/>
        <v>0</v>
      </c>
      <c r="FJ88" s="39"/>
      <c r="FK88" s="39"/>
      <c r="FL88" s="43"/>
      <c r="FM88" s="43"/>
      <c r="FN88" s="43"/>
      <c r="FO88" s="43"/>
      <c r="FP88" s="43"/>
      <c r="FQ88" s="43"/>
      <c r="FR88" s="39"/>
      <c r="FS88" s="135"/>
      <c r="FT88" s="43"/>
      <c r="FU88" s="43"/>
      <c r="FV88" s="43"/>
      <c r="FW88" s="43"/>
      <c r="FX88" s="43"/>
      <c r="FY88" s="43"/>
      <c r="FZ88" s="43"/>
      <c r="GA88" s="43"/>
      <c r="GB88" s="43"/>
      <c r="GC88" s="43"/>
      <c r="GD88" s="135"/>
      <c r="GE88" s="135"/>
      <c r="GF88" s="43"/>
      <c r="GG88" s="43"/>
      <c r="GH88" s="43"/>
      <c r="GI88" s="43"/>
      <c r="GJ88" s="43"/>
      <c r="GK88" s="43"/>
      <c r="GL88" s="43"/>
      <c r="GM88" s="43"/>
      <c r="GN88" s="43"/>
      <c r="GO88" s="43"/>
      <c r="GP88" s="43"/>
      <c r="GQ88" s="43"/>
      <c r="GR88" s="43"/>
      <c r="GS88" s="43"/>
      <c r="GT88" s="43"/>
      <c r="GU88" s="43"/>
      <c r="GV88" s="43"/>
      <c r="GW88" s="43"/>
      <c r="GX88" s="45"/>
      <c r="GY88" s="45"/>
      <c r="GZ88" s="43"/>
      <c r="HA88" s="43"/>
      <c r="HB88" s="43"/>
      <c r="HC88" s="43"/>
      <c r="HD88" s="39">
        <f t="shared" si="76"/>
        <v>0</v>
      </c>
      <c r="HE88" s="39">
        <f t="shared" si="77"/>
        <v>0</v>
      </c>
      <c r="HF88" s="39"/>
      <c r="HG88" s="39"/>
      <c r="HH88" s="39"/>
      <c r="HI88" s="43"/>
      <c r="HJ88" s="43"/>
      <c r="HK88" s="43"/>
      <c r="HL88" s="43"/>
      <c r="HM88" s="43"/>
      <c r="HN88" s="136"/>
      <c r="HO88" s="136"/>
      <c r="HP88" s="39">
        <f t="shared" si="78"/>
        <v>0</v>
      </c>
      <c r="HQ88" s="39">
        <f t="shared" si="79"/>
        <v>0</v>
      </c>
      <c r="HR88" s="39"/>
      <c r="HS88" s="39"/>
      <c r="HT88" s="39"/>
      <c r="HU88" s="43"/>
      <c r="HV88" s="39"/>
      <c r="HW88" s="39"/>
      <c r="HX88" s="39">
        <f t="shared" si="80"/>
        <v>0</v>
      </c>
      <c r="HY88" s="39">
        <f t="shared" si="81"/>
        <v>0</v>
      </c>
    </row>
    <row r="89" spans="1:233" ht="12.75">
      <c r="A89" s="14" t="s">
        <v>256</v>
      </c>
      <c r="B89" s="34"/>
      <c r="C89" s="34"/>
      <c r="D89" s="39">
        <f>201+201+201+168+168+167+168+168+167+134+134+134</f>
        <v>2011</v>
      </c>
      <c r="E89" s="39">
        <f>201+201+201+168+168+167+168+168+167+134+134+134</f>
        <v>2011</v>
      </c>
      <c r="F89" s="34"/>
      <c r="G89" s="34"/>
      <c r="H89" s="34"/>
      <c r="I89" s="34"/>
      <c r="J89" s="34"/>
      <c r="K89" s="34"/>
      <c r="L89" s="34"/>
      <c r="M89" s="34"/>
      <c r="N89" s="34"/>
      <c r="O89" s="34"/>
      <c r="P89" s="51"/>
      <c r="Q89" s="51"/>
      <c r="R89" s="39">
        <v>50</v>
      </c>
      <c r="S89" s="39">
        <f>47.95971</f>
        <v>47.95971</v>
      </c>
      <c r="T89" s="39">
        <v>15.84575</v>
      </c>
      <c r="U89" s="39">
        <v>15.84575</v>
      </c>
      <c r="V89" s="39"/>
      <c r="W89" s="34"/>
      <c r="X89" s="34"/>
      <c r="Y89" s="34"/>
      <c r="Z89" s="51"/>
      <c r="AA89" s="51"/>
      <c r="AB89" s="34"/>
      <c r="AC89" s="34"/>
      <c r="AD89" s="34"/>
      <c r="AE89" s="34"/>
      <c r="AF89" s="39">
        <v>147</v>
      </c>
      <c r="AG89" s="39">
        <f>12.3+12.3+12.3+12.3+12.3+14.7+10.4+11.3+5+12.9+16+15.2</f>
        <v>147</v>
      </c>
      <c r="AH89" s="126">
        <f t="shared" si="65"/>
        <v>2223.84575</v>
      </c>
      <c r="AI89" s="126">
        <f t="shared" si="66"/>
        <v>2221.80546</v>
      </c>
      <c r="AJ89" s="43"/>
      <c r="AK89" s="43"/>
      <c r="AL89" s="134"/>
      <c r="AM89" s="41"/>
      <c r="AN89" s="41"/>
      <c r="AO89" s="41"/>
      <c r="AP89" s="41"/>
      <c r="AQ89" s="41"/>
      <c r="AR89" s="39"/>
      <c r="AS89" s="39"/>
      <c r="AT89" s="43"/>
      <c r="AU89" s="43"/>
      <c r="AV89" s="43"/>
      <c r="AW89" s="43"/>
      <c r="AX89" s="43"/>
      <c r="AY89" s="43"/>
      <c r="AZ89" s="39">
        <f t="shared" si="67"/>
        <v>0</v>
      </c>
      <c r="BA89" s="39">
        <f t="shared" si="61"/>
        <v>0</v>
      </c>
      <c r="BB89" s="39">
        <v>0</v>
      </c>
      <c r="BC89" s="39">
        <v>0</v>
      </c>
      <c r="BD89" s="39"/>
      <c r="BE89" s="43"/>
      <c r="BF89" s="43"/>
      <c r="BG89" s="43"/>
      <c r="BH89" s="43"/>
      <c r="BI89" s="43"/>
      <c r="BJ89" s="43"/>
      <c r="BK89" s="43"/>
      <c r="BL89" s="43"/>
      <c r="BM89" s="43"/>
      <c r="BN89" s="45"/>
      <c r="BO89" s="45"/>
      <c r="BP89" s="45"/>
      <c r="BQ89" s="45"/>
      <c r="BR89" s="43"/>
      <c r="BS89" s="43"/>
      <c r="BT89" s="43"/>
      <c r="BU89" s="43"/>
      <c r="BV89" s="45"/>
      <c r="BW89" s="45"/>
      <c r="BX89" s="43"/>
      <c r="BY89" s="45"/>
      <c r="BZ89" s="43"/>
      <c r="CA89" s="45"/>
      <c r="CB89" s="45"/>
      <c r="CC89" s="45"/>
      <c r="CD89" s="45"/>
      <c r="CE89" s="45"/>
      <c r="CF89" s="39">
        <f t="shared" si="68"/>
        <v>0</v>
      </c>
      <c r="CG89" s="39">
        <f t="shared" si="69"/>
        <v>0</v>
      </c>
      <c r="CH89" s="39"/>
      <c r="CI89" s="39"/>
      <c r="CJ89" s="39"/>
      <c r="CK89" s="45"/>
      <c r="CL89" s="45"/>
      <c r="CM89" s="43"/>
      <c r="CN89" s="43"/>
      <c r="CO89" s="43"/>
      <c r="CP89" s="43"/>
      <c r="CQ89" s="39"/>
      <c r="CR89" s="43"/>
      <c r="CS89" s="45"/>
      <c r="CT89" s="45"/>
      <c r="CU89" s="45"/>
      <c r="CV89" s="45"/>
      <c r="CW89" s="43"/>
      <c r="CX89" s="43"/>
      <c r="CY89" s="43"/>
      <c r="CZ89" s="39"/>
      <c r="DA89" s="45"/>
      <c r="DB89" s="43"/>
      <c r="DC89" s="43"/>
      <c r="DD89" s="43"/>
      <c r="DE89" s="43"/>
      <c r="DF89" s="39">
        <f t="shared" si="70"/>
        <v>0</v>
      </c>
      <c r="DG89" s="39">
        <f t="shared" si="71"/>
        <v>0</v>
      </c>
      <c r="DH89" s="39"/>
      <c r="DI89" s="39"/>
      <c r="DJ89" s="39">
        <v>0</v>
      </c>
      <c r="DK89" s="39">
        <f t="shared" si="62"/>
        <v>0</v>
      </c>
      <c r="DL89" s="39"/>
      <c r="DM89" s="39"/>
      <c r="DN89" s="43"/>
      <c r="DO89" s="43"/>
      <c r="DP89" s="39">
        <f t="shared" si="72"/>
        <v>0</v>
      </c>
      <c r="DQ89" s="39">
        <f t="shared" si="63"/>
        <v>0</v>
      </c>
      <c r="DR89" s="39"/>
      <c r="DS89" s="39"/>
      <c r="DT89" s="43"/>
      <c r="DU89" s="43"/>
      <c r="DV89" s="43"/>
      <c r="DW89" s="43"/>
      <c r="DX89" s="43"/>
      <c r="DY89" s="43"/>
      <c r="DZ89" s="39"/>
      <c r="EA89" s="39"/>
      <c r="EB89" s="43"/>
      <c r="EC89" s="43"/>
      <c r="ED89" s="43"/>
      <c r="EE89" s="43"/>
      <c r="EF89" s="39"/>
      <c r="EG89" s="43"/>
      <c r="EH89" s="43">
        <v>249.4</v>
      </c>
      <c r="EI89" s="39">
        <v>249.4</v>
      </c>
      <c r="EJ89" s="39">
        <v>26</v>
      </c>
      <c r="EK89" s="43">
        <v>26</v>
      </c>
      <c r="EL89" s="43"/>
      <c r="EM89" s="43"/>
      <c r="EN89" s="45"/>
      <c r="EO89" s="45"/>
      <c r="EP89" s="43"/>
      <c r="EQ89" s="43"/>
      <c r="ER89" s="43"/>
      <c r="ES89" s="43"/>
      <c r="ET89" s="135"/>
      <c r="EU89" s="135"/>
      <c r="EV89" s="135"/>
      <c r="EW89" s="135"/>
      <c r="EX89" s="43"/>
      <c r="EY89" s="43"/>
      <c r="EZ89" s="43"/>
      <c r="FA89" s="43"/>
      <c r="FB89" s="37">
        <f t="shared" si="73"/>
        <v>275.4</v>
      </c>
      <c r="FC89" s="37">
        <f t="shared" si="74"/>
        <v>275.4</v>
      </c>
      <c r="FD89" s="39"/>
      <c r="FE89" s="39"/>
      <c r="FF89" s="43"/>
      <c r="FG89" s="43"/>
      <c r="FH89" s="132">
        <f t="shared" si="75"/>
        <v>0</v>
      </c>
      <c r="FI89" s="132">
        <f t="shared" si="64"/>
        <v>0</v>
      </c>
      <c r="FJ89" s="39"/>
      <c r="FK89" s="39"/>
      <c r="FL89" s="43"/>
      <c r="FM89" s="43"/>
      <c r="FN89" s="43"/>
      <c r="FO89" s="43"/>
      <c r="FP89" s="43"/>
      <c r="FQ89" s="43"/>
      <c r="FR89" s="39"/>
      <c r="FS89" s="135"/>
      <c r="FT89" s="43"/>
      <c r="FU89" s="43"/>
      <c r="FV89" s="43"/>
      <c r="FW89" s="43"/>
      <c r="FX89" s="43"/>
      <c r="FY89" s="43"/>
      <c r="FZ89" s="43"/>
      <c r="GA89" s="43"/>
      <c r="GB89" s="43"/>
      <c r="GC89" s="43"/>
      <c r="GD89" s="135"/>
      <c r="GE89" s="135"/>
      <c r="GF89" s="43"/>
      <c r="GG89" s="43"/>
      <c r="GH89" s="43"/>
      <c r="GI89" s="43"/>
      <c r="GJ89" s="43"/>
      <c r="GK89" s="43"/>
      <c r="GL89" s="43"/>
      <c r="GM89" s="43"/>
      <c r="GN89" s="43"/>
      <c r="GO89" s="43"/>
      <c r="GP89" s="43"/>
      <c r="GQ89" s="43"/>
      <c r="GR89" s="43"/>
      <c r="GS89" s="43"/>
      <c r="GT89" s="43"/>
      <c r="GU89" s="43"/>
      <c r="GV89" s="43"/>
      <c r="GW89" s="43"/>
      <c r="GX89" s="45"/>
      <c r="GY89" s="45"/>
      <c r="GZ89" s="43"/>
      <c r="HA89" s="43"/>
      <c r="HB89" s="43"/>
      <c r="HC89" s="43"/>
      <c r="HD89" s="39">
        <f t="shared" si="76"/>
        <v>0</v>
      </c>
      <c r="HE89" s="39">
        <f t="shared" si="77"/>
        <v>0</v>
      </c>
      <c r="HF89" s="39"/>
      <c r="HG89" s="39"/>
      <c r="HH89" s="39"/>
      <c r="HI89" s="43"/>
      <c r="HJ89" s="43"/>
      <c r="HK89" s="43"/>
      <c r="HL89" s="43"/>
      <c r="HM89" s="43"/>
      <c r="HN89" s="136"/>
      <c r="HO89" s="136"/>
      <c r="HP89" s="39">
        <f t="shared" si="78"/>
        <v>0</v>
      </c>
      <c r="HQ89" s="39">
        <f t="shared" si="79"/>
        <v>0</v>
      </c>
      <c r="HR89" s="39"/>
      <c r="HS89" s="39"/>
      <c r="HT89" s="39"/>
      <c r="HU89" s="43"/>
      <c r="HV89" s="39"/>
      <c r="HW89" s="39"/>
      <c r="HX89" s="39">
        <f t="shared" si="80"/>
        <v>0</v>
      </c>
      <c r="HY89" s="39">
        <f t="shared" si="81"/>
        <v>0</v>
      </c>
    </row>
    <row r="90" spans="1:233" ht="12.75" customHeight="1">
      <c r="A90" s="13" t="s">
        <v>131</v>
      </c>
      <c r="B90" s="39">
        <f>SUM(B91:B99)</f>
        <v>91973</v>
      </c>
      <c r="C90" s="39">
        <f aca="true" t="shared" si="86" ref="C90:BN90">SUM(C91:C99)</f>
        <v>91973</v>
      </c>
      <c r="D90" s="39">
        <f t="shared" si="86"/>
        <v>22969</v>
      </c>
      <c r="E90" s="39">
        <f t="shared" si="86"/>
        <v>22969</v>
      </c>
      <c r="F90" s="39">
        <f t="shared" si="86"/>
        <v>97916</v>
      </c>
      <c r="G90" s="39">
        <f t="shared" si="86"/>
        <v>97916</v>
      </c>
      <c r="H90" s="39">
        <f t="shared" si="86"/>
        <v>0</v>
      </c>
      <c r="I90" s="39">
        <f t="shared" si="86"/>
        <v>0</v>
      </c>
      <c r="J90" s="39">
        <f t="shared" si="86"/>
        <v>0</v>
      </c>
      <c r="K90" s="39">
        <f t="shared" si="86"/>
        <v>0</v>
      </c>
      <c r="L90" s="39">
        <f t="shared" si="86"/>
        <v>0</v>
      </c>
      <c r="M90" s="39">
        <f t="shared" si="86"/>
        <v>0</v>
      </c>
      <c r="N90" s="39">
        <f t="shared" si="86"/>
        <v>0</v>
      </c>
      <c r="O90" s="39">
        <f t="shared" si="86"/>
        <v>0</v>
      </c>
      <c r="P90" s="39">
        <f t="shared" si="86"/>
        <v>0</v>
      </c>
      <c r="Q90" s="39">
        <f t="shared" si="86"/>
        <v>0</v>
      </c>
      <c r="R90" s="39">
        <f t="shared" si="86"/>
        <v>725</v>
      </c>
      <c r="S90" s="39">
        <f t="shared" si="86"/>
        <v>722.65865</v>
      </c>
      <c r="T90" s="39">
        <f t="shared" si="86"/>
        <v>3673.56449</v>
      </c>
      <c r="U90" s="39">
        <f t="shared" si="86"/>
        <v>3673.56449</v>
      </c>
      <c r="V90" s="39">
        <f t="shared" si="86"/>
        <v>2553.7000000000003</v>
      </c>
      <c r="W90" s="39">
        <f t="shared" si="86"/>
        <v>2553.7</v>
      </c>
      <c r="X90" s="39">
        <f t="shared" si="86"/>
        <v>0</v>
      </c>
      <c r="Y90" s="39">
        <f t="shared" si="86"/>
        <v>0</v>
      </c>
      <c r="Z90" s="39">
        <f t="shared" si="86"/>
        <v>9500</v>
      </c>
      <c r="AA90" s="39">
        <f t="shared" si="86"/>
        <v>9500</v>
      </c>
      <c r="AB90" s="39">
        <f t="shared" si="86"/>
        <v>0</v>
      </c>
      <c r="AC90" s="39">
        <f t="shared" si="86"/>
        <v>0</v>
      </c>
      <c r="AD90" s="39">
        <f t="shared" si="86"/>
        <v>0</v>
      </c>
      <c r="AE90" s="39">
        <f t="shared" si="86"/>
        <v>0</v>
      </c>
      <c r="AF90" s="39">
        <f t="shared" si="86"/>
        <v>1029</v>
      </c>
      <c r="AG90" s="39">
        <f t="shared" si="86"/>
        <v>1029</v>
      </c>
      <c r="AH90" s="39">
        <f t="shared" si="86"/>
        <v>230339.26449000003</v>
      </c>
      <c r="AI90" s="39">
        <f t="shared" si="86"/>
        <v>230336.92314000003</v>
      </c>
      <c r="AJ90" s="39">
        <f t="shared" si="86"/>
        <v>602.3</v>
      </c>
      <c r="AK90" s="39">
        <f t="shared" si="86"/>
        <v>602.3</v>
      </c>
      <c r="AL90" s="39">
        <f t="shared" si="86"/>
        <v>0</v>
      </c>
      <c r="AM90" s="39">
        <f t="shared" si="86"/>
        <v>0</v>
      </c>
      <c r="AN90" s="39">
        <f t="shared" si="86"/>
        <v>0</v>
      </c>
      <c r="AO90" s="39">
        <f t="shared" si="86"/>
        <v>0</v>
      </c>
      <c r="AP90" s="39">
        <f t="shared" si="86"/>
        <v>0</v>
      </c>
      <c r="AQ90" s="39">
        <f t="shared" si="86"/>
        <v>0</v>
      </c>
      <c r="AR90" s="39">
        <f t="shared" si="86"/>
        <v>1975</v>
      </c>
      <c r="AS90" s="39">
        <f t="shared" si="86"/>
        <v>1975</v>
      </c>
      <c r="AT90" s="39">
        <f t="shared" si="86"/>
        <v>40</v>
      </c>
      <c r="AU90" s="39">
        <f t="shared" si="86"/>
        <v>40</v>
      </c>
      <c r="AV90" s="39">
        <f t="shared" si="86"/>
        <v>0</v>
      </c>
      <c r="AW90" s="39">
        <f t="shared" si="86"/>
        <v>0</v>
      </c>
      <c r="AX90" s="39">
        <f t="shared" si="86"/>
        <v>0</v>
      </c>
      <c r="AY90" s="39">
        <f t="shared" si="86"/>
        <v>0</v>
      </c>
      <c r="AZ90" s="39">
        <f t="shared" si="86"/>
        <v>2617.3</v>
      </c>
      <c r="BA90" s="39">
        <f t="shared" si="86"/>
        <v>2617.3</v>
      </c>
      <c r="BB90" s="39">
        <f t="shared" si="86"/>
        <v>1462</v>
      </c>
      <c r="BC90" s="39">
        <f t="shared" si="86"/>
        <v>1462</v>
      </c>
      <c r="BD90" s="39">
        <f t="shared" si="86"/>
        <v>1522.6000000000001</v>
      </c>
      <c r="BE90" s="39">
        <f t="shared" si="86"/>
        <v>1465.6530000000002</v>
      </c>
      <c r="BF90" s="39">
        <f t="shared" si="86"/>
        <v>0</v>
      </c>
      <c r="BG90" s="39">
        <f t="shared" si="86"/>
        <v>0</v>
      </c>
      <c r="BH90" s="39">
        <f t="shared" si="86"/>
        <v>0</v>
      </c>
      <c r="BI90" s="39">
        <f t="shared" si="86"/>
        <v>0</v>
      </c>
      <c r="BJ90" s="39">
        <f t="shared" si="86"/>
        <v>2000</v>
      </c>
      <c r="BK90" s="39">
        <f t="shared" si="86"/>
        <v>2000</v>
      </c>
      <c r="BL90" s="39">
        <f t="shared" si="86"/>
        <v>8574.43</v>
      </c>
      <c r="BM90" s="39">
        <f t="shared" si="86"/>
        <v>0</v>
      </c>
      <c r="BN90" s="39">
        <f t="shared" si="86"/>
        <v>291.6</v>
      </c>
      <c r="BO90" s="39">
        <f aca="true" t="shared" si="87" ref="BO90:DZ90">SUM(BO91:BO99)</f>
        <v>291.6</v>
      </c>
      <c r="BP90" s="39">
        <f t="shared" si="87"/>
        <v>12179</v>
      </c>
      <c r="BQ90" s="39">
        <f t="shared" si="87"/>
        <v>12179</v>
      </c>
      <c r="BR90" s="39">
        <f t="shared" si="87"/>
        <v>0</v>
      </c>
      <c r="BS90" s="39">
        <f t="shared" si="87"/>
        <v>0</v>
      </c>
      <c r="BT90" s="39">
        <f t="shared" si="87"/>
        <v>1204.184</v>
      </c>
      <c r="BU90" s="39">
        <f t="shared" si="87"/>
        <v>1204.184</v>
      </c>
      <c r="BV90" s="39">
        <f t="shared" si="87"/>
        <v>1632.44</v>
      </c>
      <c r="BW90" s="39">
        <f t="shared" si="87"/>
        <v>1632.44</v>
      </c>
      <c r="BX90" s="39">
        <f t="shared" si="87"/>
        <v>1961.22</v>
      </c>
      <c r="BY90" s="39">
        <f t="shared" si="87"/>
        <v>448.868</v>
      </c>
      <c r="BZ90" s="39">
        <f t="shared" si="87"/>
        <v>0</v>
      </c>
      <c r="CA90" s="39">
        <f t="shared" si="87"/>
        <v>0</v>
      </c>
      <c r="CB90" s="39">
        <f t="shared" si="87"/>
        <v>1150.74</v>
      </c>
      <c r="CC90" s="39">
        <f t="shared" si="87"/>
        <v>1150.74</v>
      </c>
      <c r="CD90" s="39">
        <f t="shared" si="87"/>
        <v>0</v>
      </c>
      <c r="CE90" s="39">
        <f t="shared" si="87"/>
        <v>0</v>
      </c>
      <c r="CF90" s="39">
        <f t="shared" si="87"/>
        <v>30516.214000000004</v>
      </c>
      <c r="CG90" s="39">
        <f t="shared" si="87"/>
        <v>20372.485</v>
      </c>
      <c r="CH90" s="39">
        <f t="shared" si="87"/>
        <v>14314.79082</v>
      </c>
      <c r="CI90" s="39">
        <f t="shared" si="87"/>
        <v>14314.79082</v>
      </c>
      <c r="CJ90" s="39">
        <f t="shared" si="87"/>
        <v>4517.01623</v>
      </c>
      <c r="CK90" s="39">
        <f t="shared" si="87"/>
        <v>4517.01623</v>
      </c>
      <c r="CL90" s="39">
        <f t="shared" si="87"/>
        <v>0</v>
      </c>
      <c r="CM90" s="39">
        <f t="shared" si="87"/>
        <v>0</v>
      </c>
      <c r="CN90" s="39">
        <f t="shared" si="87"/>
        <v>0</v>
      </c>
      <c r="CO90" s="39">
        <f t="shared" si="87"/>
        <v>0</v>
      </c>
      <c r="CP90" s="39">
        <f t="shared" si="87"/>
        <v>15930.188</v>
      </c>
      <c r="CQ90" s="39">
        <f t="shared" si="87"/>
        <v>15930.188</v>
      </c>
      <c r="CR90" s="39">
        <f t="shared" si="87"/>
        <v>15226.65</v>
      </c>
      <c r="CS90" s="39">
        <f t="shared" si="87"/>
        <v>15226.65</v>
      </c>
      <c r="CT90" s="39">
        <f t="shared" si="87"/>
        <v>0</v>
      </c>
      <c r="CU90" s="39">
        <f t="shared" si="87"/>
        <v>0</v>
      </c>
      <c r="CV90" s="39">
        <f t="shared" si="87"/>
        <v>0</v>
      </c>
      <c r="CW90" s="39">
        <f t="shared" si="87"/>
        <v>0</v>
      </c>
      <c r="CX90" s="39">
        <f t="shared" si="87"/>
        <v>0</v>
      </c>
      <c r="CY90" s="39">
        <f t="shared" si="87"/>
        <v>0</v>
      </c>
      <c r="CZ90" s="39">
        <f t="shared" si="87"/>
        <v>228.164</v>
      </c>
      <c r="DA90" s="39">
        <f t="shared" si="87"/>
        <v>225.882</v>
      </c>
      <c r="DB90" s="39">
        <f t="shared" si="87"/>
        <v>0</v>
      </c>
      <c r="DC90" s="39">
        <f t="shared" si="87"/>
        <v>0</v>
      </c>
      <c r="DD90" s="39">
        <f t="shared" si="87"/>
        <v>0</v>
      </c>
      <c r="DE90" s="39">
        <f t="shared" si="87"/>
        <v>0</v>
      </c>
      <c r="DF90" s="39">
        <f t="shared" si="87"/>
        <v>50216.809049999996</v>
      </c>
      <c r="DG90" s="39">
        <f t="shared" si="87"/>
        <v>50214.52705</v>
      </c>
      <c r="DH90" s="39">
        <f t="shared" si="87"/>
        <v>1404.6399999999999</v>
      </c>
      <c r="DI90" s="39">
        <f t="shared" si="87"/>
        <v>1404.5700000000002</v>
      </c>
      <c r="DJ90" s="39">
        <f t="shared" si="87"/>
        <v>1404.6399999999999</v>
      </c>
      <c r="DK90" s="39">
        <f t="shared" si="87"/>
        <v>1404.5700000000002</v>
      </c>
      <c r="DL90" s="39">
        <f t="shared" si="87"/>
        <v>0</v>
      </c>
      <c r="DM90" s="39">
        <f t="shared" si="87"/>
        <v>0</v>
      </c>
      <c r="DN90" s="39">
        <f t="shared" si="87"/>
        <v>0</v>
      </c>
      <c r="DO90" s="39">
        <f t="shared" si="87"/>
        <v>0</v>
      </c>
      <c r="DP90" s="39">
        <f t="shared" si="87"/>
        <v>0</v>
      </c>
      <c r="DQ90" s="39">
        <f t="shared" si="87"/>
        <v>0</v>
      </c>
      <c r="DR90" s="39">
        <f t="shared" si="87"/>
        <v>4</v>
      </c>
      <c r="DS90" s="39">
        <f t="shared" si="87"/>
        <v>4</v>
      </c>
      <c r="DT90" s="39">
        <f t="shared" si="87"/>
        <v>0</v>
      </c>
      <c r="DU90" s="39">
        <f t="shared" si="87"/>
        <v>0</v>
      </c>
      <c r="DV90" s="39">
        <f t="shared" si="87"/>
        <v>27</v>
      </c>
      <c r="DW90" s="39">
        <f t="shared" si="87"/>
        <v>27</v>
      </c>
      <c r="DX90" s="39">
        <f t="shared" si="87"/>
        <v>0</v>
      </c>
      <c r="DY90" s="39">
        <f t="shared" si="87"/>
        <v>0</v>
      </c>
      <c r="DZ90" s="39">
        <f t="shared" si="87"/>
        <v>0</v>
      </c>
      <c r="EA90" s="39">
        <f aca="true" t="shared" si="88" ref="EA90:GL90">SUM(EA91:EA99)</f>
        <v>0</v>
      </c>
      <c r="EB90" s="39">
        <f t="shared" si="88"/>
        <v>0</v>
      </c>
      <c r="EC90" s="39">
        <f t="shared" si="88"/>
        <v>0</v>
      </c>
      <c r="ED90" s="39">
        <f t="shared" si="88"/>
        <v>110</v>
      </c>
      <c r="EE90" s="39">
        <f t="shared" si="88"/>
        <v>110</v>
      </c>
      <c r="EF90" s="39">
        <f t="shared" si="88"/>
        <v>3224.6</v>
      </c>
      <c r="EG90" s="39">
        <f t="shared" si="88"/>
        <v>3192.4094999999998</v>
      </c>
      <c r="EH90" s="39">
        <f t="shared" si="88"/>
        <v>5142</v>
      </c>
      <c r="EI90" s="39">
        <f t="shared" si="88"/>
        <v>5142</v>
      </c>
      <c r="EJ90" s="39">
        <f t="shared" si="88"/>
        <v>780</v>
      </c>
      <c r="EK90" s="39">
        <f t="shared" si="88"/>
        <v>706</v>
      </c>
      <c r="EL90" s="39">
        <f t="shared" si="88"/>
        <v>0</v>
      </c>
      <c r="EM90" s="39">
        <f t="shared" si="88"/>
        <v>0</v>
      </c>
      <c r="EN90" s="39">
        <f t="shared" si="88"/>
        <v>0</v>
      </c>
      <c r="EO90" s="39">
        <f t="shared" si="88"/>
        <v>0</v>
      </c>
      <c r="EP90" s="39">
        <f t="shared" si="88"/>
        <v>0</v>
      </c>
      <c r="EQ90" s="39">
        <f t="shared" si="88"/>
        <v>0</v>
      </c>
      <c r="ER90" s="39">
        <f t="shared" si="88"/>
        <v>0</v>
      </c>
      <c r="ES90" s="39">
        <f t="shared" si="88"/>
        <v>0</v>
      </c>
      <c r="ET90" s="39">
        <f t="shared" si="88"/>
        <v>0</v>
      </c>
      <c r="EU90" s="39">
        <f t="shared" si="88"/>
        <v>0</v>
      </c>
      <c r="EV90" s="39">
        <f t="shared" si="88"/>
        <v>20.1</v>
      </c>
      <c r="EW90" s="39">
        <f t="shared" si="88"/>
        <v>20.1</v>
      </c>
      <c r="EX90" s="39">
        <f t="shared" si="88"/>
        <v>0</v>
      </c>
      <c r="EY90" s="39">
        <f t="shared" si="88"/>
        <v>0</v>
      </c>
      <c r="EZ90" s="39">
        <f t="shared" si="88"/>
        <v>0</v>
      </c>
      <c r="FA90" s="39">
        <f t="shared" si="88"/>
        <v>0</v>
      </c>
      <c r="FB90" s="39">
        <f t="shared" si="88"/>
        <v>9307.7</v>
      </c>
      <c r="FC90" s="39">
        <f t="shared" si="88"/>
        <v>9201.5095</v>
      </c>
      <c r="FD90" s="39">
        <f t="shared" si="88"/>
        <v>229.2</v>
      </c>
      <c r="FE90" s="39">
        <f t="shared" si="88"/>
        <v>229.2</v>
      </c>
      <c r="FF90" s="39">
        <f t="shared" si="88"/>
        <v>18.33</v>
      </c>
      <c r="FG90" s="39">
        <f t="shared" si="88"/>
        <v>18.33</v>
      </c>
      <c r="FH90" s="39">
        <f t="shared" si="88"/>
        <v>247.52999999999997</v>
      </c>
      <c r="FI90" s="39">
        <f t="shared" si="88"/>
        <v>247.52999999999997</v>
      </c>
      <c r="FJ90" s="39">
        <f t="shared" si="88"/>
        <v>0</v>
      </c>
      <c r="FK90" s="39">
        <f t="shared" si="88"/>
        <v>0</v>
      </c>
      <c r="FL90" s="39">
        <f t="shared" si="88"/>
        <v>0</v>
      </c>
      <c r="FM90" s="39">
        <f t="shared" si="88"/>
        <v>0</v>
      </c>
      <c r="FN90" s="39">
        <f t="shared" si="88"/>
        <v>0</v>
      </c>
      <c r="FO90" s="39">
        <f t="shared" si="88"/>
        <v>0</v>
      </c>
      <c r="FP90" s="39">
        <f t="shared" si="88"/>
        <v>0</v>
      </c>
      <c r="FQ90" s="39">
        <f t="shared" si="88"/>
        <v>0</v>
      </c>
      <c r="FR90" s="39">
        <f t="shared" si="88"/>
        <v>0</v>
      </c>
      <c r="FS90" s="39">
        <f t="shared" si="88"/>
        <v>0</v>
      </c>
      <c r="FT90" s="39">
        <f t="shared" si="88"/>
        <v>1841</v>
      </c>
      <c r="FU90" s="39">
        <f t="shared" si="88"/>
        <v>1841</v>
      </c>
      <c r="FV90" s="39">
        <f t="shared" si="88"/>
        <v>809</v>
      </c>
      <c r="FW90" s="39">
        <f t="shared" si="88"/>
        <v>809</v>
      </c>
      <c r="FX90" s="39">
        <f t="shared" si="88"/>
        <v>11020</v>
      </c>
      <c r="FY90" s="39">
        <f t="shared" si="88"/>
        <v>11020</v>
      </c>
      <c r="FZ90" s="39">
        <f t="shared" si="88"/>
        <v>3188</v>
      </c>
      <c r="GA90" s="39">
        <f t="shared" si="88"/>
        <v>3188</v>
      </c>
      <c r="GB90" s="39">
        <f t="shared" si="88"/>
        <v>0</v>
      </c>
      <c r="GC90" s="39">
        <f t="shared" si="88"/>
        <v>0</v>
      </c>
      <c r="GD90" s="39">
        <f t="shared" si="88"/>
        <v>51579.85</v>
      </c>
      <c r="GE90" s="39">
        <f t="shared" si="88"/>
        <v>413.25</v>
      </c>
      <c r="GF90" s="39">
        <f t="shared" si="88"/>
        <v>1475.9</v>
      </c>
      <c r="GG90" s="39">
        <f t="shared" si="88"/>
        <v>1475.9</v>
      </c>
      <c r="GH90" s="39">
        <f t="shared" si="88"/>
        <v>631.9</v>
      </c>
      <c r="GI90" s="39">
        <f t="shared" si="88"/>
        <v>631.9</v>
      </c>
      <c r="GJ90" s="39">
        <f t="shared" si="88"/>
        <v>57349.1</v>
      </c>
      <c r="GK90" s="39">
        <f t="shared" si="88"/>
        <v>57349.1</v>
      </c>
      <c r="GL90" s="39">
        <f t="shared" si="88"/>
        <v>137454.1</v>
      </c>
      <c r="GM90" s="39">
        <f aca="true" t="shared" si="89" ref="GM90:HY90">SUM(GM91:GM99)</f>
        <v>137454.1</v>
      </c>
      <c r="GN90" s="39">
        <f t="shared" si="89"/>
        <v>0</v>
      </c>
      <c r="GO90" s="39">
        <f t="shared" si="89"/>
        <v>0</v>
      </c>
      <c r="GP90" s="39">
        <f t="shared" si="89"/>
        <v>5485</v>
      </c>
      <c r="GQ90" s="39">
        <f t="shared" si="89"/>
        <v>5485</v>
      </c>
      <c r="GR90" s="39">
        <f t="shared" si="89"/>
        <v>1078</v>
      </c>
      <c r="GS90" s="39">
        <f t="shared" si="89"/>
        <v>1078</v>
      </c>
      <c r="GT90" s="39">
        <f t="shared" si="89"/>
        <v>296</v>
      </c>
      <c r="GU90" s="39">
        <f t="shared" si="89"/>
        <v>296</v>
      </c>
      <c r="GV90" s="39">
        <f t="shared" si="89"/>
        <v>12167</v>
      </c>
      <c r="GW90" s="39">
        <f t="shared" si="89"/>
        <v>12167</v>
      </c>
      <c r="GX90" s="39">
        <f t="shared" si="89"/>
        <v>5484.7</v>
      </c>
      <c r="GY90" s="39">
        <f t="shared" si="89"/>
        <v>5484.7</v>
      </c>
      <c r="GZ90" s="39">
        <f t="shared" si="89"/>
        <v>50</v>
      </c>
      <c r="HA90" s="39">
        <f t="shared" si="89"/>
        <v>50</v>
      </c>
      <c r="HB90" s="39">
        <f t="shared" si="89"/>
        <v>377.3</v>
      </c>
      <c r="HC90" s="39">
        <f t="shared" si="89"/>
        <v>377.3</v>
      </c>
      <c r="HD90" s="39">
        <f t="shared" si="89"/>
        <v>290286.85</v>
      </c>
      <c r="HE90" s="39">
        <f t="shared" si="89"/>
        <v>239120.25</v>
      </c>
      <c r="HF90" s="39">
        <f t="shared" si="89"/>
        <v>0</v>
      </c>
      <c r="HG90" s="39">
        <f t="shared" si="89"/>
        <v>0</v>
      </c>
      <c r="HH90" s="39">
        <f t="shared" si="89"/>
        <v>0</v>
      </c>
      <c r="HI90" s="39">
        <f t="shared" si="89"/>
        <v>0</v>
      </c>
      <c r="HJ90" s="39">
        <f t="shared" si="89"/>
        <v>0</v>
      </c>
      <c r="HK90" s="39">
        <f t="shared" si="89"/>
        <v>0</v>
      </c>
      <c r="HL90" s="39">
        <f t="shared" si="89"/>
        <v>0</v>
      </c>
      <c r="HM90" s="39">
        <f t="shared" si="89"/>
        <v>0</v>
      </c>
      <c r="HN90" s="39">
        <f t="shared" si="89"/>
        <v>0</v>
      </c>
      <c r="HO90" s="39">
        <f t="shared" si="89"/>
        <v>0</v>
      </c>
      <c r="HP90" s="39">
        <f t="shared" si="89"/>
        <v>0</v>
      </c>
      <c r="HQ90" s="39">
        <f t="shared" si="89"/>
        <v>0</v>
      </c>
      <c r="HR90" s="39">
        <f t="shared" si="89"/>
        <v>0</v>
      </c>
      <c r="HS90" s="39">
        <f t="shared" si="89"/>
        <v>0</v>
      </c>
      <c r="HT90" s="39">
        <f t="shared" si="89"/>
        <v>390</v>
      </c>
      <c r="HU90" s="39">
        <f t="shared" si="89"/>
        <v>382.05</v>
      </c>
      <c r="HV90" s="39">
        <f t="shared" si="89"/>
        <v>3.397</v>
      </c>
      <c r="HW90" s="39">
        <f t="shared" si="89"/>
        <v>3.397</v>
      </c>
      <c r="HX90" s="39">
        <f t="shared" si="89"/>
        <v>393.397</v>
      </c>
      <c r="HY90" s="39">
        <f t="shared" si="89"/>
        <v>385.447</v>
      </c>
    </row>
    <row r="91" spans="1:233" ht="12.75">
      <c r="A91" s="12" t="s">
        <v>156</v>
      </c>
      <c r="B91" s="39">
        <f>9197+6132+7665+4598+7664+7664+7665+7664+7664+7665+6132+6131.5+6131.5</f>
        <v>91973</v>
      </c>
      <c r="C91" s="39">
        <f>9197+6132+7665+4598+7664+7664+7665+7664+7664+7665+6132+6131.5+6131.5</f>
        <v>91973</v>
      </c>
      <c r="D91" s="34"/>
      <c r="E91" s="34"/>
      <c r="F91" s="39">
        <f>9792+6528+8160+4895+8160+5579+5579+15750+5579+5579+5579+5578.7+5578.7+5578.6</f>
        <v>97916</v>
      </c>
      <c r="G91" s="39">
        <f>9792+6528+8160+4895+8160+5579+5579+15750+5579+5579+5579+5578.7+5578.7+5578.6</f>
        <v>97916</v>
      </c>
      <c r="H91" s="34"/>
      <c r="I91" s="34"/>
      <c r="J91" s="34"/>
      <c r="K91" s="34"/>
      <c r="L91" s="34"/>
      <c r="M91" s="34"/>
      <c r="N91" s="34"/>
      <c r="O91" s="34"/>
      <c r="P91" s="51"/>
      <c r="Q91" s="51"/>
      <c r="R91" s="39"/>
      <c r="S91" s="39"/>
      <c r="T91" s="39"/>
      <c r="U91" s="39"/>
      <c r="V91" s="39"/>
      <c r="W91" s="34"/>
      <c r="X91" s="34"/>
      <c r="Y91" s="34"/>
      <c r="Z91" s="52">
        <v>9500</v>
      </c>
      <c r="AA91" s="52">
        <v>9500</v>
      </c>
      <c r="AB91" s="34"/>
      <c r="AC91" s="34"/>
      <c r="AD91" s="34"/>
      <c r="AE91" s="34"/>
      <c r="AF91" s="39"/>
      <c r="AG91" s="48"/>
      <c r="AH91" s="126">
        <f t="shared" si="65"/>
        <v>199389</v>
      </c>
      <c r="AI91" s="126">
        <f t="shared" si="66"/>
        <v>199389</v>
      </c>
      <c r="AJ91" s="43">
        <v>602.3</v>
      </c>
      <c r="AK91" s="43">
        <v>602.3</v>
      </c>
      <c r="AL91" s="134"/>
      <c r="AM91" s="41"/>
      <c r="AN91" s="41"/>
      <c r="AO91" s="41"/>
      <c r="AP91" s="41"/>
      <c r="AQ91" s="41"/>
      <c r="AR91" s="39">
        <v>1975</v>
      </c>
      <c r="AS91" s="39">
        <v>1975</v>
      </c>
      <c r="AT91" s="43">
        <v>40</v>
      </c>
      <c r="AU91" s="43">
        <v>40</v>
      </c>
      <c r="AV91" s="43"/>
      <c r="AW91" s="43"/>
      <c r="AX91" s="43"/>
      <c r="AY91" s="43"/>
      <c r="AZ91" s="39">
        <f t="shared" si="67"/>
        <v>2617.3</v>
      </c>
      <c r="BA91" s="39">
        <f t="shared" si="61"/>
        <v>2617.3</v>
      </c>
      <c r="BB91" s="39">
        <v>1462</v>
      </c>
      <c r="BC91" s="39">
        <v>1462</v>
      </c>
      <c r="BD91" s="39"/>
      <c r="BE91" s="43"/>
      <c r="BF91" s="43"/>
      <c r="BG91" s="43"/>
      <c r="BH91" s="43"/>
      <c r="BI91" s="43"/>
      <c r="BJ91" s="43">
        <v>2000</v>
      </c>
      <c r="BK91" s="43">
        <v>2000</v>
      </c>
      <c r="BL91" s="43">
        <v>8574.43</v>
      </c>
      <c r="BM91" s="43"/>
      <c r="BN91" s="43">
        <v>291.6</v>
      </c>
      <c r="BO91" s="43">
        <v>291.6</v>
      </c>
      <c r="BP91" s="43">
        <v>12179</v>
      </c>
      <c r="BQ91" s="43">
        <v>12179</v>
      </c>
      <c r="BR91" s="43">
        <v>0</v>
      </c>
      <c r="BS91" s="43">
        <v>0</v>
      </c>
      <c r="BT91" s="43">
        <v>1204.184</v>
      </c>
      <c r="BU91" s="43">
        <v>1204.184</v>
      </c>
      <c r="BV91" s="43">
        <v>1632.44</v>
      </c>
      <c r="BW91" s="43">
        <v>1632.44</v>
      </c>
      <c r="BX91" s="43">
        <v>1961.22</v>
      </c>
      <c r="BY91" s="43">
        <v>448.868</v>
      </c>
      <c r="BZ91" s="43"/>
      <c r="CA91" s="43"/>
      <c r="CB91" s="39">
        <v>1150.74</v>
      </c>
      <c r="CC91" s="39">
        <v>1150.74</v>
      </c>
      <c r="CD91" s="43"/>
      <c r="CE91" s="43"/>
      <c r="CF91" s="39">
        <f t="shared" si="68"/>
        <v>28993.614</v>
      </c>
      <c r="CG91" s="39">
        <f t="shared" si="69"/>
        <v>18906.832</v>
      </c>
      <c r="CH91" s="39"/>
      <c r="CI91" s="39"/>
      <c r="CJ91" s="39"/>
      <c r="CK91" s="45"/>
      <c r="CL91" s="45"/>
      <c r="CM91" s="43"/>
      <c r="CN91" s="43"/>
      <c r="CO91" s="43"/>
      <c r="CP91" s="43"/>
      <c r="CQ91" s="39"/>
      <c r="CR91" s="43"/>
      <c r="CS91" s="45"/>
      <c r="CT91" s="45"/>
      <c r="CU91" s="45"/>
      <c r="CV91" s="45"/>
      <c r="CW91" s="43"/>
      <c r="CX91" s="43"/>
      <c r="CY91" s="43"/>
      <c r="CZ91" s="39">
        <v>228.164</v>
      </c>
      <c r="DA91" s="39">
        <v>225.882</v>
      </c>
      <c r="DB91" s="43"/>
      <c r="DC91" s="43"/>
      <c r="DD91" s="43"/>
      <c r="DE91" s="43"/>
      <c r="DF91" s="39">
        <f t="shared" si="70"/>
        <v>228.164</v>
      </c>
      <c r="DG91" s="39">
        <f t="shared" si="71"/>
        <v>225.882</v>
      </c>
      <c r="DH91" s="39">
        <v>644.87</v>
      </c>
      <c r="DI91" s="39">
        <v>644.87</v>
      </c>
      <c r="DJ91" s="39">
        <v>644.87</v>
      </c>
      <c r="DK91" s="39">
        <f t="shared" si="62"/>
        <v>644.87</v>
      </c>
      <c r="DL91" s="39"/>
      <c r="DM91" s="39"/>
      <c r="DN91" s="43"/>
      <c r="DO91" s="43"/>
      <c r="DP91" s="39">
        <f t="shared" si="72"/>
        <v>0</v>
      </c>
      <c r="DQ91" s="39">
        <f t="shared" si="63"/>
        <v>0</v>
      </c>
      <c r="DR91" s="39">
        <v>4</v>
      </c>
      <c r="DS91" s="39">
        <v>4</v>
      </c>
      <c r="DT91" s="43"/>
      <c r="DU91" s="43"/>
      <c r="DV91" s="43">
        <v>27</v>
      </c>
      <c r="DW91" s="43">
        <v>27</v>
      </c>
      <c r="DX91" s="43"/>
      <c r="DY91" s="43"/>
      <c r="DZ91" s="39"/>
      <c r="EA91" s="39"/>
      <c r="EB91" s="43"/>
      <c r="EC91" s="43"/>
      <c r="ED91" s="43">
        <v>110</v>
      </c>
      <c r="EE91" s="43">
        <v>110</v>
      </c>
      <c r="EF91" s="39"/>
      <c r="EG91" s="43"/>
      <c r="EH91" s="43">
        <v>3843</v>
      </c>
      <c r="EI91" s="39">
        <v>3843</v>
      </c>
      <c r="EJ91" s="39"/>
      <c r="EK91" s="43"/>
      <c r="EL91" s="43"/>
      <c r="EM91" s="43"/>
      <c r="EN91" s="45"/>
      <c r="EO91" s="45"/>
      <c r="EP91" s="43"/>
      <c r="EQ91" s="43"/>
      <c r="ER91" s="43"/>
      <c r="ES91" s="43"/>
      <c r="ET91" s="135"/>
      <c r="EU91" s="135"/>
      <c r="EV91" s="135">
        <v>20.1</v>
      </c>
      <c r="EW91" s="135">
        <v>20.1</v>
      </c>
      <c r="EX91" s="43"/>
      <c r="EY91" s="43"/>
      <c r="EZ91" s="43"/>
      <c r="FA91" s="43"/>
      <c r="FB91" s="37">
        <f t="shared" si="73"/>
        <v>4004.1</v>
      </c>
      <c r="FC91" s="37">
        <f t="shared" si="74"/>
        <v>4004.1</v>
      </c>
      <c r="FD91" s="39">
        <v>229.2</v>
      </c>
      <c r="FE91" s="39">
        <v>229.2</v>
      </c>
      <c r="FF91" s="43">
        <v>18.33</v>
      </c>
      <c r="FG91" s="43">
        <v>18.33</v>
      </c>
      <c r="FH91" s="132">
        <f t="shared" si="75"/>
        <v>247.52999999999997</v>
      </c>
      <c r="FI91" s="132">
        <f t="shared" si="64"/>
        <v>247.52999999999997</v>
      </c>
      <c r="FJ91" s="39"/>
      <c r="FK91" s="39"/>
      <c r="FL91" s="43"/>
      <c r="FM91" s="43"/>
      <c r="FN91" s="43"/>
      <c r="FO91" s="43"/>
      <c r="FP91" s="43"/>
      <c r="FQ91" s="43"/>
      <c r="FR91" s="39"/>
      <c r="FS91" s="135"/>
      <c r="FT91" s="43">
        <v>1841</v>
      </c>
      <c r="FU91" s="43">
        <v>1841</v>
      </c>
      <c r="FV91" s="43">
        <v>809</v>
      </c>
      <c r="FW91" s="43">
        <v>809</v>
      </c>
      <c r="FX91" s="43">
        <v>11020</v>
      </c>
      <c r="FY91" s="43">
        <v>11020</v>
      </c>
      <c r="FZ91" s="43">
        <v>3188</v>
      </c>
      <c r="GA91" s="43">
        <v>3188</v>
      </c>
      <c r="GB91" s="43"/>
      <c r="GC91" s="43"/>
      <c r="GD91" s="135">
        <f>413.25+51166.6</f>
        <v>51579.85</v>
      </c>
      <c r="GE91" s="135">
        <v>413.25</v>
      </c>
      <c r="GF91" s="43">
        <v>1475.9</v>
      </c>
      <c r="GG91" s="43">
        <v>1475.9</v>
      </c>
      <c r="GH91" s="43">
        <v>631.9</v>
      </c>
      <c r="GI91" s="43">
        <v>631.9</v>
      </c>
      <c r="GJ91" s="43">
        <v>57349.1</v>
      </c>
      <c r="GK91" s="43">
        <v>57349.1</v>
      </c>
      <c r="GL91" s="43">
        <v>137454.1</v>
      </c>
      <c r="GM91" s="43">
        <v>137454.1</v>
      </c>
      <c r="GN91" s="43"/>
      <c r="GO91" s="43"/>
      <c r="GP91" s="43">
        <v>5485</v>
      </c>
      <c r="GQ91" s="43">
        <v>5485</v>
      </c>
      <c r="GR91" s="43">
        <v>1078</v>
      </c>
      <c r="GS91" s="43">
        <v>1078</v>
      </c>
      <c r="GT91" s="43">
        <v>296</v>
      </c>
      <c r="GU91" s="43">
        <v>296</v>
      </c>
      <c r="GV91" s="43">
        <v>12167</v>
      </c>
      <c r="GW91" s="43">
        <v>12167</v>
      </c>
      <c r="GX91" s="45">
        <v>5484.7</v>
      </c>
      <c r="GY91" s="45">
        <v>5484.7</v>
      </c>
      <c r="GZ91" s="43">
        <v>50</v>
      </c>
      <c r="HA91" s="43">
        <v>50</v>
      </c>
      <c r="HB91" s="43">
        <v>377.3</v>
      </c>
      <c r="HC91" s="43">
        <v>377.3</v>
      </c>
      <c r="HD91" s="39">
        <f t="shared" si="76"/>
        <v>290286.85</v>
      </c>
      <c r="HE91" s="39">
        <f t="shared" si="77"/>
        <v>239120.25</v>
      </c>
      <c r="HF91" s="39"/>
      <c r="HG91" s="39"/>
      <c r="HH91" s="39"/>
      <c r="HI91" s="43"/>
      <c r="HJ91" s="43"/>
      <c r="HK91" s="43"/>
      <c r="HL91" s="43"/>
      <c r="HM91" s="43"/>
      <c r="HN91" s="136"/>
      <c r="HO91" s="136"/>
      <c r="HP91" s="39">
        <f t="shared" si="78"/>
        <v>0</v>
      </c>
      <c r="HQ91" s="39">
        <f t="shared" si="79"/>
        <v>0</v>
      </c>
      <c r="HR91" s="39"/>
      <c r="HS91" s="39"/>
      <c r="HT91" s="39">
        <v>390</v>
      </c>
      <c r="HU91" s="43">
        <v>382.05</v>
      </c>
      <c r="HV91" s="39">
        <v>3.397</v>
      </c>
      <c r="HW91" s="39">
        <v>3.397</v>
      </c>
      <c r="HX91" s="39">
        <f t="shared" si="80"/>
        <v>393.397</v>
      </c>
      <c r="HY91" s="39">
        <f t="shared" si="81"/>
        <v>385.447</v>
      </c>
    </row>
    <row r="92" spans="1:233" ht="12.75" customHeight="1">
      <c r="A92" s="14" t="s">
        <v>214</v>
      </c>
      <c r="B92" s="34"/>
      <c r="C92" s="34"/>
      <c r="D92" s="39">
        <f>245+245+245+204+204+205+204+204+205+163.3+163.4+163.3</f>
        <v>2451.0000000000005</v>
      </c>
      <c r="E92" s="39">
        <f>245+245+245+204+204+205+204+204+205+163.3+163.4+163.3</f>
        <v>2451.0000000000005</v>
      </c>
      <c r="F92" s="34"/>
      <c r="G92" s="34"/>
      <c r="H92" s="34"/>
      <c r="I92" s="34"/>
      <c r="J92" s="34"/>
      <c r="K92" s="34"/>
      <c r="L92" s="34"/>
      <c r="M92" s="34"/>
      <c r="N92" s="34"/>
      <c r="O92" s="34"/>
      <c r="P92" s="51"/>
      <c r="Q92" s="51"/>
      <c r="R92" s="39">
        <v>420</v>
      </c>
      <c r="S92" s="39">
        <f>420</f>
        <v>420</v>
      </c>
      <c r="T92" s="39">
        <v>3571.60832</v>
      </c>
      <c r="U92" s="39">
        <f>133.06632+2800.594+423.39+214.558</f>
        <v>3571.60832</v>
      </c>
      <c r="V92" s="39"/>
      <c r="W92" s="34"/>
      <c r="X92" s="34"/>
      <c r="Y92" s="34"/>
      <c r="Z92" s="51"/>
      <c r="AA92" s="51"/>
      <c r="AB92" s="34"/>
      <c r="AC92" s="34"/>
      <c r="AD92" s="34"/>
      <c r="AE92" s="34"/>
      <c r="AF92" s="39"/>
      <c r="AG92" s="48"/>
      <c r="AH92" s="126">
        <f t="shared" si="65"/>
        <v>6442.60832</v>
      </c>
      <c r="AI92" s="126">
        <f t="shared" si="66"/>
        <v>6442.60832</v>
      </c>
      <c r="AJ92" s="43"/>
      <c r="AK92" s="43"/>
      <c r="AL92" s="134"/>
      <c r="AM92" s="41"/>
      <c r="AN92" s="41"/>
      <c r="AO92" s="41"/>
      <c r="AP92" s="41"/>
      <c r="AQ92" s="41"/>
      <c r="AR92" s="39"/>
      <c r="AS92" s="39"/>
      <c r="AT92" s="43"/>
      <c r="AU92" s="43"/>
      <c r="AV92" s="43"/>
      <c r="AW92" s="43"/>
      <c r="AX92" s="43"/>
      <c r="AY92" s="43"/>
      <c r="AZ92" s="39">
        <f t="shared" si="67"/>
        <v>0</v>
      </c>
      <c r="BA92" s="39">
        <f t="shared" si="61"/>
        <v>0</v>
      </c>
      <c r="BB92" s="39">
        <v>0</v>
      </c>
      <c r="BC92" s="39">
        <v>0</v>
      </c>
      <c r="BD92" s="39">
        <v>276.2</v>
      </c>
      <c r="BE92" s="43">
        <v>267.199</v>
      </c>
      <c r="BF92" s="43"/>
      <c r="BG92" s="43"/>
      <c r="BH92" s="43"/>
      <c r="BI92" s="43"/>
      <c r="BJ92" s="43"/>
      <c r="BK92" s="43"/>
      <c r="BL92" s="43"/>
      <c r="BM92" s="43"/>
      <c r="BN92" s="45"/>
      <c r="BO92" s="45"/>
      <c r="BP92" s="45"/>
      <c r="BQ92" s="45"/>
      <c r="BR92" s="43"/>
      <c r="BS92" s="43"/>
      <c r="BT92" s="43"/>
      <c r="BU92" s="43"/>
      <c r="BV92" s="45"/>
      <c r="BW92" s="45"/>
      <c r="BX92" s="43"/>
      <c r="BY92" s="45"/>
      <c r="BZ92" s="43"/>
      <c r="CA92" s="45"/>
      <c r="CB92" s="45"/>
      <c r="CC92" s="45"/>
      <c r="CD92" s="45"/>
      <c r="CE92" s="45"/>
      <c r="CF92" s="39">
        <f t="shared" si="68"/>
        <v>276.2</v>
      </c>
      <c r="CG92" s="39">
        <f t="shared" si="69"/>
        <v>267.199</v>
      </c>
      <c r="CH92" s="39">
        <v>14314.79082</v>
      </c>
      <c r="CI92" s="39">
        <v>14314.79082</v>
      </c>
      <c r="CJ92" s="39">
        <v>4517.01623</v>
      </c>
      <c r="CK92" s="43">
        <v>4517.01623</v>
      </c>
      <c r="CL92" s="43"/>
      <c r="CM92" s="43"/>
      <c r="CN92" s="43"/>
      <c r="CO92" s="43"/>
      <c r="CP92" s="43">
        <v>15471.838</v>
      </c>
      <c r="CQ92" s="43">
        <v>15471.838</v>
      </c>
      <c r="CR92" s="43">
        <v>14835.21</v>
      </c>
      <c r="CS92" s="43">
        <v>14835.21</v>
      </c>
      <c r="CT92" s="43"/>
      <c r="CU92" s="45"/>
      <c r="CV92" s="45"/>
      <c r="CW92" s="43"/>
      <c r="CX92" s="43"/>
      <c r="CY92" s="43"/>
      <c r="CZ92" s="39"/>
      <c r="DA92" s="45"/>
      <c r="DB92" s="43"/>
      <c r="DC92" s="43"/>
      <c r="DD92" s="43"/>
      <c r="DE92" s="43"/>
      <c r="DF92" s="39">
        <f t="shared" si="70"/>
        <v>49138.85505</v>
      </c>
      <c r="DG92" s="39">
        <f t="shared" si="71"/>
        <v>49138.85505</v>
      </c>
      <c r="DH92" s="39">
        <v>759.77</v>
      </c>
      <c r="DI92" s="39">
        <v>759.7</v>
      </c>
      <c r="DJ92" s="39">
        <v>759.77</v>
      </c>
      <c r="DK92" s="39">
        <f t="shared" si="62"/>
        <v>759.7</v>
      </c>
      <c r="DL92" s="39"/>
      <c r="DM92" s="39"/>
      <c r="DN92" s="43"/>
      <c r="DO92" s="43"/>
      <c r="DP92" s="39">
        <f t="shared" si="72"/>
        <v>0</v>
      </c>
      <c r="DQ92" s="39">
        <f t="shared" si="63"/>
        <v>0</v>
      </c>
      <c r="DR92" s="39"/>
      <c r="DS92" s="39"/>
      <c r="DT92" s="43"/>
      <c r="DU92" s="43"/>
      <c r="DV92" s="43"/>
      <c r="DW92" s="43"/>
      <c r="DX92" s="43"/>
      <c r="DY92" s="43"/>
      <c r="DZ92" s="39"/>
      <c r="EA92" s="39"/>
      <c r="EB92" s="43"/>
      <c r="EC92" s="43"/>
      <c r="ED92" s="43"/>
      <c r="EE92" s="43"/>
      <c r="EF92" s="39"/>
      <c r="EG92" s="43"/>
      <c r="EH92" s="43"/>
      <c r="EI92" s="45"/>
      <c r="EJ92" s="39"/>
      <c r="EK92" s="43"/>
      <c r="EL92" s="43"/>
      <c r="EM92" s="43"/>
      <c r="EN92" s="45"/>
      <c r="EO92" s="45"/>
      <c r="EP92" s="43"/>
      <c r="EQ92" s="43"/>
      <c r="ER92" s="43"/>
      <c r="ES92" s="43"/>
      <c r="ET92" s="135"/>
      <c r="EU92" s="135"/>
      <c r="EV92" s="135"/>
      <c r="EW92" s="135"/>
      <c r="EX92" s="43"/>
      <c r="EY92" s="43"/>
      <c r="EZ92" s="43"/>
      <c r="FA92" s="43"/>
      <c r="FB92" s="37">
        <f t="shared" si="73"/>
        <v>0</v>
      </c>
      <c r="FC92" s="37">
        <f t="shared" si="74"/>
        <v>0</v>
      </c>
      <c r="FD92" s="39"/>
      <c r="FE92" s="39"/>
      <c r="FF92" s="43"/>
      <c r="FG92" s="43"/>
      <c r="FH92" s="132">
        <f t="shared" si="75"/>
        <v>0</v>
      </c>
      <c r="FI92" s="132">
        <f t="shared" si="64"/>
        <v>0</v>
      </c>
      <c r="FJ92" s="39"/>
      <c r="FK92" s="39"/>
      <c r="FL92" s="43"/>
      <c r="FM92" s="43"/>
      <c r="FN92" s="43"/>
      <c r="FO92" s="43"/>
      <c r="FP92" s="43"/>
      <c r="FQ92" s="43"/>
      <c r="FR92" s="39"/>
      <c r="FS92" s="135"/>
      <c r="FT92" s="43"/>
      <c r="FU92" s="43"/>
      <c r="FV92" s="43"/>
      <c r="FW92" s="43"/>
      <c r="FX92" s="43"/>
      <c r="FY92" s="43"/>
      <c r="FZ92" s="43"/>
      <c r="GA92" s="43"/>
      <c r="GB92" s="43"/>
      <c r="GC92" s="43"/>
      <c r="GD92" s="135"/>
      <c r="GE92" s="135"/>
      <c r="GF92" s="43"/>
      <c r="GG92" s="43"/>
      <c r="GH92" s="43"/>
      <c r="GI92" s="43"/>
      <c r="GJ92" s="43"/>
      <c r="GK92" s="43"/>
      <c r="GL92" s="43"/>
      <c r="GM92" s="43"/>
      <c r="GN92" s="43"/>
      <c r="GO92" s="43"/>
      <c r="GP92" s="43"/>
      <c r="GQ92" s="43"/>
      <c r="GR92" s="43"/>
      <c r="GS92" s="43"/>
      <c r="GT92" s="43"/>
      <c r="GU92" s="43"/>
      <c r="GV92" s="43"/>
      <c r="GW92" s="43"/>
      <c r="GX92" s="45"/>
      <c r="GY92" s="45"/>
      <c r="GZ92" s="43"/>
      <c r="HA92" s="43"/>
      <c r="HB92" s="43"/>
      <c r="HC92" s="43"/>
      <c r="HD92" s="39">
        <f t="shared" si="76"/>
        <v>0</v>
      </c>
      <c r="HE92" s="39">
        <f t="shared" si="77"/>
        <v>0</v>
      </c>
      <c r="HF92" s="39"/>
      <c r="HG92" s="39"/>
      <c r="HH92" s="39"/>
      <c r="HI92" s="43"/>
      <c r="HJ92" s="43"/>
      <c r="HK92" s="43"/>
      <c r="HL92" s="43"/>
      <c r="HM92" s="43"/>
      <c r="HN92" s="136"/>
      <c r="HO92" s="136"/>
      <c r="HP92" s="39">
        <f t="shared" si="78"/>
        <v>0</v>
      </c>
      <c r="HQ92" s="39">
        <f t="shared" si="79"/>
        <v>0</v>
      </c>
      <c r="HR92" s="39"/>
      <c r="HS92" s="39"/>
      <c r="HT92" s="39"/>
      <c r="HU92" s="43"/>
      <c r="HV92" s="39"/>
      <c r="HW92" s="39"/>
      <c r="HX92" s="39">
        <f t="shared" si="80"/>
        <v>0</v>
      </c>
      <c r="HY92" s="39">
        <f t="shared" si="81"/>
        <v>0</v>
      </c>
    </row>
    <row r="93" spans="1:233" ht="12.75">
      <c r="A93" s="14" t="s">
        <v>257</v>
      </c>
      <c r="B93" s="34"/>
      <c r="C93" s="34"/>
      <c r="D93" s="39">
        <f>265+265+265+221+221+221+221+221+221+176.7+176.7+176.6</f>
        <v>2650.9999999999995</v>
      </c>
      <c r="E93" s="39">
        <f>265+265+265+221+221+221+221+221+221+176.7+176.7+176.6</f>
        <v>2650.9999999999995</v>
      </c>
      <c r="F93" s="34"/>
      <c r="G93" s="34"/>
      <c r="H93" s="34"/>
      <c r="I93" s="34"/>
      <c r="J93" s="34"/>
      <c r="K93" s="34"/>
      <c r="L93" s="34"/>
      <c r="M93" s="34"/>
      <c r="N93" s="34"/>
      <c r="O93" s="34"/>
      <c r="P93" s="51"/>
      <c r="Q93" s="51"/>
      <c r="R93" s="39"/>
      <c r="S93" s="39"/>
      <c r="T93" s="39">
        <v>0.40513</v>
      </c>
      <c r="U93" s="39">
        <v>0.40513</v>
      </c>
      <c r="V93" s="39">
        <v>1803.7</v>
      </c>
      <c r="W93" s="34">
        <f>48.5+1541.6+213.6</f>
        <v>1803.6999999999998</v>
      </c>
      <c r="X93" s="34"/>
      <c r="Y93" s="34"/>
      <c r="Z93" s="51"/>
      <c r="AA93" s="51"/>
      <c r="AB93" s="34"/>
      <c r="AC93" s="34"/>
      <c r="AD93" s="34"/>
      <c r="AE93" s="34"/>
      <c r="AF93" s="39">
        <v>147</v>
      </c>
      <c r="AG93" s="39">
        <f>12.3+12.3+12.3+12.3+12.3+12.3+30+6.2+8+5+5+19</f>
        <v>147</v>
      </c>
      <c r="AH93" s="126">
        <f t="shared" si="65"/>
        <v>4602.10513</v>
      </c>
      <c r="AI93" s="126">
        <f t="shared" si="66"/>
        <v>4602.10513</v>
      </c>
      <c r="AJ93" s="43"/>
      <c r="AK93" s="43"/>
      <c r="AL93" s="134"/>
      <c r="AM93" s="41"/>
      <c r="AN93" s="41"/>
      <c r="AO93" s="41"/>
      <c r="AP93" s="41"/>
      <c r="AQ93" s="41"/>
      <c r="AR93" s="39"/>
      <c r="AS93" s="39"/>
      <c r="AT93" s="43"/>
      <c r="AU93" s="43"/>
      <c r="AV93" s="43"/>
      <c r="AW93" s="43"/>
      <c r="AX93" s="43"/>
      <c r="AY93" s="43"/>
      <c r="AZ93" s="39">
        <f t="shared" si="67"/>
        <v>0</v>
      </c>
      <c r="BA93" s="39">
        <f t="shared" si="61"/>
        <v>0</v>
      </c>
      <c r="BB93" s="39">
        <v>0</v>
      </c>
      <c r="BC93" s="39">
        <v>0</v>
      </c>
      <c r="BD93" s="39">
        <v>294</v>
      </c>
      <c r="BE93" s="43">
        <v>279.174</v>
      </c>
      <c r="BF93" s="43"/>
      <c r="BG93" s="43"/>
      <c r="BH93" s="43"/>
      <c r="BI93" s="43"/>
      <c r="BJ93" s="43"/>
      <c r="BK93" s="43"/>
      <c r="BL93" s="43"/>
      <c r="BM93" s="43"/>
      <c r="BN93" s="45"/>
      <c r="BO93" s="45"/>
      <c r="BP93" s="45"/>
      <c r="BQ93" s="45"/>
      <c r="BR93" s="43"/>
      <c r="BS93" s="43"/>
      <c r="BT93" s="43"/>
      <c r="BU93" s="43"/>
      <c r="BV93" s="45"/>
      <c r="BW93" s="45"/>
      <c r="BX93" s="43"/>
      <c r="BY93" s="45"/>
      <c r="BZ93" s="43"/>
      <c r="CA93" s="45"/>
      <c r="CB93" s="45"/>
      <c r="CC93" s="45"/>
      <c r="CD93" s="45"/>
      <c r="CE93" s="45"/>
      <c r="CF93" s="39">
        <f t="shared" si="68"/>
        <v>294</v>
      </c>
      <c r="CG93" s="39">
        <f t="shared" si="69"/>
        <v>279.174</v>
      </c>
      <c r="CH93" s="39"/>
      <c r="CI93" s="39"/>
      <c r="CJ93" s="39"/>
      <c r="CK93" s="45"/>
      <c r="CL93" s="45"/>
      <c r="CM93" s="43"/>
      <c r="CN93" s="43"/>
      <c r="CO93" s="43"/>
      <c r="CP93" s="43"/>
      <c r="CQ93" s="39"/>
      <c r="CR93" s="43"/>
      <c r="CS93" s="45"/>
      <c r="CT93" s="45"/>
      <c r="CU93" s="45"/>
      <c r="CV93" s="45"/>
      <c r="CW93" s="43"/>
      <c r="CX93" s="43"/>
      <c r="CY93" s="43"/>
      <c r="CZ93" s="39"/>
      <c r="DA93" s="45"/>
      <c r="DB93" s="43"/>
      <c r="DC93" s="43"/>
      <c r="DD93" s="43"/>
      <c r="DE93" s="43"/>
      <c r="DF93" s="39">
        <f t="shared" si="70"/>
        <v>0</v>
      </c>
      <c r="DG93" s="39">
        <f t="shared" si="71"/>
        <v>0</v>
      </c>
      <c r="DH93" s="39"/>
      <c r="DI93" s="39"/>
      <c r="DJ93" s="39">
        <v>0</v>
      </c>
      <c r="DK93" s="39">
        <f t="shared" si="62"/>
        <v>0</v>
      </c>
      <c r="DL93" s="39"/>
      <c r="DM93" s="39"/>
      <c r="DN93" s="43"/>
      <c r="DO93" s="43"/>
      <c r="DP93" s="39">
        <f t="shared" si="72"/>
        <v>0</v>
      </c>
      <c r="DQ93" s="39">
        <f t="shared" si="63"/>
        <v>0</v>
      </c>
      <c r="DR93" s="39"/>
      <c r="DS93" s="39"/>
      <c r="DT93" s="43"/>
      <c r="DU93" s="43"/>
      <c r="DV93" s="43"/>
      <c r="DW93" s="43"/>
      <c r="DX93" s="43"/>
      <c r="DY93" s="43"/>
      <c r="DZ93" s="39"/>
      <c r="EA93" s="39"/>
      <c r="EB93" s="43"/>
      <c r="EC93" s="43"/>
      <c r="ED93" s="43"/>
      <c r="EE93" s="43"/>
      <c r="EF93" s="39">
        <v>1724</v>
      </c>
      <c r="EG93" s="43">
        <v>1724</v>
      </c>
      <c r="EH93" s="43">
        <v>381</v>
      </c>
      <c r="EI93" s="39">
        <v>381</v>
      </c>
      <c r="EJ93" s="39">
        <v>91</v>
      </c>
      <c r="EK93" s="43">
        <v>48</v>
      </c>
      <c r="EL93" s="43"/>
      <c r="EM93" s="43"/>
      <c r="EN93" s="45"/>
      <c r="EO93" s="45"/>
      <c r="EP93" s="43"/>
      <c r="EQ93" s="43"/>
      <c r="ER93" s="43"/>
      <c r="ES93" s="43"/>
      <c r="ET93" s="135"/>
      <c r="EU93" s="135"/>
      <c r="EV93" s="135"/>
      <c r="EW93" s="135"/>
      <c r="EX93" s="43"/>
      <c r="EY93" s="43"/>
      <c r="EZ93" s="43"/>
      <c r="FA93" s="43"/>
      <c r="FB93" s="37">
        <f t="shared" si="73"/>
        <v>2196</v>
      </c>
      <c r="FC93" s="37">
        <f t="shared" si="74"/>
        <v>2153</v>
      </c>
      <c r="FD93" s="39"/>
      <c r="FE93" s="39"/>
      <c r="FF93" s="43"/>
      <c r="FG93" s="43"/>
      <c r="FH93" s="132">
        <f t="shared" si="75"/>
        <v>0</v>
      </c>
      <c r="FI93" s="132">
        <f t="shared" si="64"/>
        <v>0</v>
      </c>
      <c r="FJ93" s="39"/>
      <c r="FK93" s="39"/>
      <c r="FL93" s="43"/>
      <c r="FM93" s="43"/>
      <c r="FN93" s="43"/>
      <c r="FO93" s="43"/>
      <c r="FP93" s="43"/>
      <c r="FQ93" s="43"/>
      <c r="FR93" s="39"/>
      <c r="FS93" s="135"/>
      <c r="FT93" s="43"/>
      <c r="FU93" s="43"/>
      <c r="FV93" s="43"/>
      <c r="FW93" s="43"/>
      <c r="FX93" s="43"/>
      <c r="FY93" s="43"/>
      <c r="FZ93" s="43"/>
      <c r="GA93" s="43"/>
      <c r="GB93" s="43"/>
      <c r="GC93" s="43"/>
      <c r="GD93" s="135"/>
      <c r="GE93" s="135"/>
      <c r="GF93" s="43"/>
      <c r="GG93" s="43"/>
      <c r="GH93" s="43"/>
      <c r="GI93" s="43"/>
      <c r="GJ93" s="43"/>
      <c r="GK93" s="43"/>
      <c r="GL93" s="43"/>
      <c r="GM93" s="43"/>
      <c r="GN93" s="43"/>
      <c r="GO93" s="43"/>
      <c r="GP93" s="43"/>
      <c r="GQ93" s="43"/>
      <c r="GR93" s="43"/>
      <c r="GS93" s="43"/>
      <c r="GT93" s="43"/>
      <c r="GU93" s="43"/>
      <c r="GV93" s="43"/>
      <c r="GW93" s="43"/>
      <c r="GX93" s="45"/>
      <c r="GY93" s="45"/>
      <c r="GZ93" s="43"/>
      <c r="HA93" s="43"/>
      <c r="HB93" s="43"/>
      <c r="HC93" s="43"/>
      <c r="HD93" s="39">
        <f t="shared" si="76"/>
        <v>0</v>
      </c>
      <c r="HE93" s="39">
        <f t="shared" si="77"/>
        <v>0</v>
      </c>
      <c r="HF93" s="39"/>
      <c r="HG93" s="39"/>
      <c r="HH93" s="39"/>
      <c r="HI93" s="43"/>
      <c r="HJ93" s="43"/>
      <c r="HK93" s="43"/>
      <c r="HL93" s="43"/>
      <c r="HM93" s="43"/>
      <c r="HN93" s="136"/>
      <c r="HO93" s="136"/>
      <c r="HP93" s="39">
        <f t="shared" si="78"/>
        <v>0</v>
      </c>
      <c r="HQ93" s="39">
        <f t="shared" si="79"/>
        <v>0</v>
      </c>
      <c r="HR93" s="39"/>
      <c r="HS93" s="39"/>
      <c r="HT93" s="39"/>
      <c r="HU93" s="43"/>
      <c r="HV93" s="39"/>
      <c r="HW93" s="39"/>
      <c r="HX93" s="39">
        <f t="shared" si="80"/>
        <v>0</v>
      </c>
      <c r="HY93" s="39">
        <f t="shared" si="81"/>
        <v>0</v>
      </c>
    </row>
    <row r="94" spans="1:233" ht="12.75" customHeight="1">
      <c r="A94" s="14" t="s">
        <v>258</v>
      </c>
      <c r="B94" s="34"/>
      <c r="C94" s="34"/>
      <c r="D94" s="39">
        <f>311+311+311+259+259+260+259+259+260+207+207+207</f>
        <v>3110</v>
      </c>
      <c r="E94" s="39">
        <f>311+311+311+259+259+260+259+259+260+207+207+207</f>
        <v>3110</v>
      </c>
      <c r="F94" s="34"/>
      <c r="G94" s="34"/>
      <c r="H94" s="34"/>
      <c r="I94" s="34"/>
      <c r="J94" s="34"/>
      <c r="K94" s="34"/>
      <c r="L94" s="34"/>
      <c r="M94" s="34"/>
      <c r="N94" s="34"/>
      <c r="O94" s="34"/>
      <c r="P94" s="51"/>
      <c r="Q94" s="51"/>
      <c r="R94" s="39"/>
      <c r="S94" s="39"/>
      <c r="T94" s="39">
        <v>0.28764999999999996</v>
      </c>
      <c r="U94" s="39">
        <v>0.28765</v>
      </c>
      <c r="V94" s="39">
        <v>18</v>
      </c>
      <c r="W94" s="39">
        <f>18</f>
        <v>18</v>
      </c>
      <c r="X94" s="34"/>
      <c r="Y94" s="34"/>
      <c r="Z94" s="51"/>
      <c r="AA94" s="51"/>
      <c r="AB94" s="34"/>
      <c r="AC94" s="34"/>
      <c r="AD94" s="34"/>
      <c r="AE94" s="34"/>
      <c r="AF94" s="39">
        <v>147</v>
      </c>
      <c r="AG94" s="39">
        <f>12.3+12.3+12.3+12.3+12.3+12.3+30.3+3.5+4+9.5+10+15.9</f>
        <v>147</v>
      </c>
      <c r="AH94" s="126">
        <f t="shared" si="65"/>
        <v>3275.28765</v>
      </c>
      <c r="AI94" s="126">
        <f t="shared" si="66"/>
        <v>3275.28765</v>
      </c>
      <c r="AJ94" s="43"/>
      <c r="AK94" s="43"/>
      <c r="AL94" s="134"/>
      <c r="AM94" s="41"/>
      <c r="AN94" s="41"/>
      <c r="AO94" s="41"/>
      <c r="AP94" s="41"/>
      <c r="AQ94" s="41"/>
      <c r="AR94" s="39"/>
      <c r="AS94" s="39"/>
      <c r="AT94" s="43"/>
      <c r="AU94" s="43"/>
      <c r="AV94" s="43"/>
      <c r="AW94" s="43"/>
      <c r="AX94" s="43"/>
      <c r="AY94" s="43"/>
      <c r="AZ94" s="39">
        <f t="shared" si="67"/>
        <v>0</v>
      </c>
      <c r="BA94" s="39">
        <f t="shared" si="61"/>
        <v>0</v>
      </c>
      <c r="BB94" s="39">
        <v>0</v>
      </c>
      <c r="BC94" s="39">
        <v>0</v>
      </c>
      <c r="BD94" s="39">
        <v>624</v>
      </c>
      <c r="BE94" s="43">
        <v>623.985</v>
      </c>
      <c r="BF94" s="43"/>
      <c r="BG94" s="43"/>
      <c r="BH94" s="43"/>
      <c r="BI94" s="43"/>
      <c r="BJ94" s="43"/>
      <c r="BK94" s="43"/>
      <c r="BL94" s="43"/>
      <c r="BM94" s="43"/>
      <c r="BN94" s="45"/>
      <c r="BO94" s="45"/>
      <c r="BP94" s="45"/>
      <c r="BQ94" s="45"/>
      <c r="BR94" s="43"/>
      <c r="BS94" s="43"/>
      <c r="BT94" s="43"/>
      <c r="BU94" s="43"/>
      <c r="BV94" s="45"/>
      <c r="BW94" s="45"/>
      <c r="BX94" s="43"/>
      <c r="BY94" s="45"/>
      <c r="BZ94" s="43"/>
      <c r="CA94" s="45"/>
      <c r="CB94" s="45"/>
      <c r="CC94" s="45"/>
      <c r="CD94" s="45"/>
      <c r="CE94" s="45"/>
      <c r="CF94" s="39">
        <f t="shared" si="68"/>
        <v>624</v>
      </c>
      <c r="CG94" s="39">
        <f t="shared" si="69"/>
        <v>623.985</v>
      </c>
      <c r="CH94" s="39"/>
      <c r="CI94" s="39"/>
      <c r="CJ94" s="39"/>
      <c r="CK94" s="45"/>
      <c r="CL94" s="45"/>
      <c r="CM94" s="43"/>
      <c r="CN94" s="43"/>
      <c r="CO94" s="43"/>
      <c r="CP94" s="43">
        <v>458.35</v>
      </c>
      <c r="CQ94" s="43">
        <v>458.35</v>
      </c>
      <c r="CR94" s="43">
        <v>391.44</v>
      </c>
      <c r="CS94" s="43">
        <v>391.44</v>
      </c>
      <c r="CT94" s="43"/>
      <c r="CU94" s="45"/>
      <c r="CV94" s="45"/>
      <c r="CW94" s="43"/>
      <c r="CX94" s="43"/>
      <c r="CY94" s="43"/>
      <c r="CZ94" s="39"/>
      <c r="DA94" s="45"/>
      <c r="DB94" s="43"/>
      <c r="DC94" s="43"/>
      <c r="DD94" s="43"/>
      <c r="DE94" s="43"/>
      <c r="DF94" s="39">
        <f t="shared" si="70"/>
        <v>849.79</v>
      </c>
      <c r="DG94" s="39">
        <f t="shared" si="71"/>
        <v>849.79</v>
      </c>
      <c r="DH94" s="39"/>
      <c r="DI94" s="39"/>
      <c r="DJ94" s="39">
        <v>0</v>
      </c>
      <c r="DK94" s="39">
        <f t="shared" si="62"/>
        <v>0</v>
      </c>
      <c r="DL94" s="39"/>
      <c r="DM94" s="39"/>
      <c r="DN94" s="43"/>
      <c r="DO94" s="43"/>
      <c r="DP94" s="39">
        <f t="shared" si="72"/>
        <v>0</v>
      </c>
      <c r="DQ94" s="39">
        <f t="shared" si="63"/>
        <v>0</v>
      </c>
      <c r="DR94" s="39"/>
      <c r="DS94" s="39"/>
      <c r="DT94" s="43"/>
      <c r="DU94" s="43"/>
      <c r="DV94" s="43"/>
      <c r="DW94" s="43"/>
      <c r="DX94" s="43"/>
      <c r="DY94" s="43"/>
      <c r="DZ94" s="39"/>
      <c r="EA94" s="39"/>
      <c r="EB94" s="43"/>
      <c r="EC94" s="43"/>
      <c r="ED94" s="43"/>
      <c r="EE94" s="43"/>
      <c r="EF94" s="39">
        <v>561.6</v>
      </c>
      <c r="EG94" s="43">
        <v>561.6</v>
      </c>
      <c r="EH94" s="43">
        <v>155</v>
      </c>
      <c r="EI94" s="39">
        <v>155</v>
      </c>
      <c r="EJ94" s="39">
        <v>99</v>
      </c>
      <c r="EK94" s="43">
        <v>92</v>
      </c>
      <c r="EL94" s="43"/>
      <c r="EM94" s="43"/>
      <c r="EN94" s="45"/>
      <c r="EO94" s="45"/>
      <c r="EP94" s="43"/>
      <c r="EQ94" s="43"/>
      <c r="ER94" s="43"/>
      <c r="ES94" s="43"/>
      <c r="ET94" s="135"/>
      <c r="EU94" s="135"/>
      <c r="EV94" s="135"/>
      <c r="EW94" s="135"/>
      <c r="EX94" s="43"/>
      <c r="EY94" s="43"/>
      <c r="EZ94" s="43"/>
      <c r="FA94" s="43"/>
      <c r="FB94" s="37">
        <f t="shared" si="73"/>
        <v>815.6</v>
      </c>
      <c r="FC94" s="37">
        <f t="shared" si="74"/>
        <v>808.6</v>
      </c>
      <c r="FD94" s="39"/>
      <c r="FE94" s="39"/>
      <c r="FF94" s="43"/>
      <c r="FG94" s="43"/>
      <c r="FH94" s="132">
        <f t="shared" si="75"/>
        <v>0</v>
      </c>
      <c r="FI94" s="132">
        <f t="shared" si="64"/>
        <v>0</v>
      </c>
      <c r="FJ94" s="39"/>
      <c r="FK94" s="39"/>
      <c r="FL94" s="43"/>
      <c r="FM94" s="43"/>
      <c r="FN94" s="43"/>
      <c r="FO94" s="43"/>
      <c r="FP94" s="43"/>
      <c r="FQ94" s="43"/>
      <c r="FR94" s="39"/>
      <c r="FS94" s="135"/>
      <c r="FT94" s="43"/>
      <c r="FU94" s="43"/>
      <c r="FV94" s="43"/>
      <c r="FW94" s="43"/>
      <c r="FX94" s="43"/>
      <c r="FY94" s="43"/>
      <c r="FZ94" s="43"/>
      <c r="GA94" s="43"/>
      <c r="GB94" s="43"/>
      <c r="GC94" s="43"/>
      <c r="GD94" s="135"/>
      <c r="GE94" s="135"/>
      <c r="GF94" s="43"/>
      <c r="GG94" s="43"/>
      <c r="GH94" s="43"/>
      <c r="GI94" s="43"/>
      <c r="GJ94" s="43"/>
      <c r="GK94" s="43"/>
      <c r="GL94" s="43"/>
      <c r="GM94" s="43"/>
      <c r="GN94" s="43"/>
      <c r="GO94" s="43"/>
      <c r="GP94" s="43"/>
      <c r="GQ94" s="43"/>
      <c r="GR94" s="43"/>
      <c r="GS94" s="43"/>
      <c r="GT94" s="43"/>
      <c r="GU94" s="43"/>
      <c r="GV94" s="43"/>
      <c r="GW94" s="43"/>
      <c r="GX94" s="45"/>
      <c r="GY94" s="45"/>
      <c r="GZ94" s="43"/>
      <c r="HA94" s="43"/>
      <c r="HB94" s="43"/>
      <c r="HC94" s="43"/>
      <c r="HD94" s="39">
        <f t="shared" si="76"/>
        <v>0</v>
      </c>
      <c r="HE94" s="39">
        <f t="shared" si="77"/>
        <v>0</v>
      </c>
      <c r="HF94" s="39"/>
      <c r="HG94" s="39"/>
      <c r="HH94" s="39"/>
      <c r="HI94" s="43"/>
      <c r="HJ94" s="43"/>
      <c r="HK94" s="43"/>
      <c r="HL94" s="43"/>
      <c r="HM94" s="43"/>
      <c r="HN94" s="136"/>
      <c r="HO94" s="136"/>
      <c r="HP94" s="39">
        <f t="shared" si="78"/>
        <v>0</v>
      </c>
      <c r="HQ94" s="39">
        <f t="shared" si="79"/>
        <v>0</v>
      </c>
      <c r="HR94" s="39"/>
      <c r="HS94" s="39"/>
      <c r="HT94" s="39"/>
      <c r="HU94" s="43"/>
      <c r="HV94" s="39"/>
      <c r="HW94" s="39"/>
      <c r="HX94" s="39">
        <f t="shared" si="80"/>
        <v>0</v>
      </c>
      <c r="HY94" s="39">
        <f t="shared" si="81"/>
        <v>0</v>
      </c>
    </row>
    <row r="95" spans="1:233" ht="12.75">
      <c r="A95" s="14" t="s">
        <v>259</v>
      </c>
      <c r="B95" s="34"/>
      <c r="C95" s="34"/>
      <c r="D95" s="39">
        <f>598+598+597+498+498+499+498+498+499+398.3+398.4+398.3</f>
        <v>5978</v>
      </c>
      <c r="E95" s="39">
        <f>598+598+597+498+498+499+498+498+499+398.3+398.4+398.3</f>
        <v>5978</v>
      </c>
      <c r="F95" s="34"/>
      <c r="G95" s="34"/>
      <c r="H95" s="34"/>
      <c r="I95" s="34"/>
      <c r="J95" s="34"/>
      <c r="K95" s="34"/>
      <c r="L95" s="34"/>
      <c r="M95" s="34"/>
      <c r="N95" s="34"/>
      <c r="O95" s="34"/>
      <c r="P95" s="51"/>
      <c r="Q95" s="51"/>
      <c r="R95" s="39"/>
      <c r="S95" s="39"/>
      <c r="T95" s="39">
        <v>0.14124</v>
      </c>
      <c r="U95" s="39">
        <v>0.14124</v>
      </c>
      <c r="V95" s="39">
        <v>41</v>
      </c>
      <c r="W95" s="39">
        <v>41</v>
      </c>
      <c r="X95" s="34"/>
      <c r="Y95" s="34"/>
      <c r="Z95" s="51"/>
      <c r="AA95" s="51"/>
      <c r="AB95" s="34"/>
      <c r="AC95" s="34"/>
      <c r="AD95" s="34"/>
      <c r="AE95" s="34"/>
      <c r="AF95" s="39">
        <v>147</v>
      </c>
      <c r="AG95" s="39">
        <f>12.3+12.3+12.3+12.3+12.3+12.3+12.3+12.3+13+8+8+19.6</f>
        <v>147</v>
      </c>
      <c r="AH95" s="126">
        <f t="shared" si="65"/>
        <v>6166.14124</v>
      </c>
      <c r="AI95" s="126">
        <f t="shared" si="66"/>
        <v>6166.14124</v>
      </c>
      <c r="AJ95" s="43"/>
      <c r="AK95" s="43"/>
      <c r="AL95" s="134"/>
      <c r="AM95" s="41"/>
      <c r="AN95" s="41"/>
      <c r="AO95" s="41"/>
      <c r="AP95" s="41"/>
      <c r="AQ95" s="41"/>
      <c r="AR95" s="39"/>
      <c r="AS95" s="39"/>
      <c r="AT95" s="43"/>
      <c r="AU95" s="43"/>
      <c r="AV95" s="43"/>
      <c r="AW95" s="43"/>
      <c r="AX95" s="43"/>
      <c r="AY95" s="43"/>
      <c r="AZ95" s="39">
        <f t="shared" si="67"/>
        <v>0</v>
      </c>
      <c r="BA95" s="39">
        <f t="shared" si="61"/>
        <v>0</v>
      </c>
      <c r="BB95" s="39">
        <v>0</v>
      </c>
      <c r="BC95" s="39">
        <v>0</v>
      </c>
      <c r="BD95" s="39"/>
      <c r="BE95" s="43"/>
      <c r="BF95" s="43"/>
      <c r="BG95" s="43"/>
      <c r="BH95" s="43"/>
      <c r="BI95" s="43"/>
      <c r="BJ95" s="43"/>
      <c r="BK95" s="43"/>
      <c r="BL95" s="43"/>
      <c r="BM95" s="43"/>
      <c r="BN95" s="45"/>
      <c r="BO95" s="45"/>
      <c r="BP95" s="45"/>
      <c r="BQ95" s="45"/>
      <c r="BR95" s="43"/>
      <c r="BS95" s="43"/>
      <c r="BT95" s="43"/>
      <c r="BU95" s="43"/>
      <c r="BV95" s="45"/>
      <c r="BW95" s="45"/>
      <c r="BX95" s="43"/>
      <c r="BY95" s="45"/>
      <c r="BZ95" s="43"/>
      <c r="CA95" s="45"/>
      <c r="CB95" s="45"/>
      <c r="CC95" s="45"/>
      <c r="CD95" s="45"/>
      <c r="CE95" s="45"/>
      <c r="CF95" s="39">
        <f t="shared" si="68"/>
        <v>0</v>
      </c>
      <c r="CG95" s="39">
        <f t="shared" si="69"/>
        <v>0</v>
      </c>
      <c r="CH95" s="39"/>
      <c r="CI95" s="39"/>
      <c r="CJ95" s="39"/>
      <c r="CK95" s="45"/>
      <c r="CL95" s="45"/>
      <c r="CM95" s="43"/>
      <c r="CN95" s="43"/>
      <c r="CO95" s="43"/>
      <c r="CP95" s="43"/>
      <c r="CQ95" s="39"/>
      <c r="CR95" s="43"/>
      <c r="CS95" s="45"/>
      <c r="CT95" s="45"/>
      <c r="CU95" s="45"/>
      <c r="CV95" s="45"/>
      <c r="CW95" s="43"/>
      <c r="CX95" s="43"/>
      <c r="CY95" s="43"/>
      <c r="CZ95" s="39"/>
      <c r="DA95" s="45"/>
      <c r="DB95" s="43"/>
      <c r="DC95" s="43"/>
      <c r="DD95" s="43"/>
      <c r="DE95" s="43"/>
      <c r="DF95" s="39">
        <f t="shared" si="70"/>
        <v>0</v>
      </c>
      <c r="DG95" s="39">
        <f t="shared" si="71"/>
        <v>0</v>
      </c>
      <c r="DH95" s="39"/>
      <c r="DI95" s="39"/>
      <c r="DJ95" s="39">
        <v>0</v>
      </c>
      <c r="DK95" s="39">
        <f t="shared" si="62"/>
        <v>0</v>
      </c>
      <c r="DL95" s="39"/>
      <c r="DM95" s="39"/>
      <c r="DN95" s="43"/>
      <c r="DO95" s="43"/>
      <c r="DP95" s="39">
        <f t="shared" si="72"/>
        <v>0</v>
      </c>
      <c r="DQ95" s="39">
        <f t="shared" si="63"/>
        <v>0</v>
      </c>
      <c r="DR95" s="39"/>
      <c r="DS95" s="39"/>
      <c r="DT95" s="43"/>
      <c r="DU95" s="43"/>
      <c r="DV95" s="43"/>
      <c r="DW95" s="43"/>
      <c r="DX95" s="43"/>
      <c r="DY95" s="43"/>
      <c r="DZ95" s="39"/>
      <c r="EA95" s="39"/>
      <c r="EB95" s="43"/>
      <c r="EC95" s="43"/>
      <c r="ED95" s="43"/>
      <c r="EE95" s="43"/>
      <c r="EF95" s="39"/>
      <c r="EG95" s="43"/>
      <c r="EH95" s="43">
        <v>54</v>
      </c>
      <c r="EI95" s="39">
        <v>54</v>
      </c>
      <c r="EJ95" s="39">
        <v>89</v>
      </c>
      <c r="EK95" s="43">
        <v>84</v>
      </c>
      <c r="EL95" s="43"/>
      <c r="EM95" s="43"/>
      <c r="EN95" s="45"/>
      <c r="EO95" s="45"/>
      <c r="EP95" s="43"/>
      <c r="EQ95" s="43"/>
      <c r="ER95" s="43"/>
      <c r="ES95" s="43"/>
      <c r="ET95" s="135"/>
      <c r="EU95" s="135"/>
      <c r="EV95" s="135"/>
      <c r="EW95" s="135"/>
      <c r="EX95" s="43"/>
      <c r="EY95" s="43"/>
      <c r="EZ95" s="43"/>
      <c r="FA95" s="43"/>
      <c r="FB95" s="37">
        <f t="shared" si="73"/>
        <v>143</v>
      </c>
      <c r="FC95" s="37">
        <f t="shared" si="74"/>
        <v>138</v>
      </c>
      <c r="FD95" s="39"/>
      <c r="FE95" s="39"/>
      <c r="FF95" s="43"/>
      <c r="FG95" s="43"/>
      <c r="FH95" s="132">
        <f t="shared" si="75"/>
        <v>0</v>
      </c>
      <c r="FI95" s="132">
        <f t="shared" si="64"/>
        <v>0</v>
      </c>
      <c r="FJ95" s="39"/>
      <c r="FK95" s="39"/>
      <c r="FL95" s="43"/>
      <c r="FM95" s="43"/>
      <c r="FN95" s="43"/>
      <c r="FO95" s="43"/>
      <c r="FP95" s="43"/>
      <c r="FQ95" s="43"/>
      <c r="FR95" s="39"/>
      <c r="FS95" s="135"/>
      <c r="FT95" s="43"/>
      <c r="FU95" s="43"/>
      <c r="FV95" s="43"/>
      <c r="FW95" s="43"/>
      <c r="FX95" s="43"/>
      <c r="FY95" s="43"/>
      <c r="FZ95" s="43"/>
      <c r="GA95" s="43"/>
      <c r="GB95" s="43"/>
      <c r="GC95" s="43"/>
      <c r="GD95" s="135"/>
      <c r="GE95" s="135"/>
      <c r="GF95" s="43"/>
      <c r="GG95" s="43"/>
      <c r="GH95" s="43"/>
      <c r="GI95" s="43"/>
      <c r="GJ95" s="43"/>
      <c r="GK95" s="43"/>
      <c r="GL95" s="43"/>
      <c r="GM95" s="43"/>
      <c r="GN95" s="43"/>
      <c r="GO95" s="43"/>
      <c r="GP95" s="43"/>
      <c r="GQ95" s="43"/>
      <c r="GR95" s="43"/>
      <c r="GS95" s="43"/>
      <c r="GT95" s="43"/>
      <c r="GU95" s="43"/>
      <c r="GV95" s="43"/>
      <c r="GW95" s="43"/>
      <c r="GX95" s="45"/>
      <c r="GY95" s="45"/>
      <c r="GZ95" s="43"/>
      <c r="HA95" s="43"/>
      <c r="HB95" s="43"/>
      <c r="HC95" s="43"/>
      <c r="HD95" s="39">
        <f t="shared" si="76"/>
        <v>0</v>
      </c>
      <c r="HE95" s="39">
        <f t="shared" si="77"/>
        <v>0</v>
      </c>
      <c r="HF95" s="39"/>
      <c r="HG95" s="39"/>
      <c r="HH95" s="39"/>
      <c r="HI95" s="43"/>
      <c r="HJ95" s="43"/>
      <c r="HK95" s="43"/>
      <c r="HL95" s="43"/>
      <c r="HM95" s="43"/>
      <c r="HN95" s="136"/>
      <c r="HO95" s="136"/>
      <c r="HP95" s="39">
        <f t="shared" si="78"/>
        <v>0</v>
      </c>
      <c r="HQ95" s="39">
        <f t="shared" si="79"/>
        <v>0</v>
      </c>
      <c r="HR95" s="39"/>
      <c r="HS95" s="39"/>
      <c r="HT95" s="39"/>
      <c r="HU95" s="43"/>
      <c r="HV95" s="39"/>
      <c r="HW95" s="39"/>
      <c r="HX95" s="39">
        <f t="shared" si="80"/>
        <v>0</v>
      </c>
      <c r="HY95" s="39">
        <f t="shared" si="81"/>
        <v>0</v>
      </c>
    </row>
    <row r="96" spans="1:233" ht="12.75" customHeight="1">
      <c r="A96" s="14" t="s">
        <v>260</v>
      </c>
      <c r="B96" s="34"/>
      <c r="C96" s="34"/>
      <c r="D96" s="39">
        <f>224+224+225+187+187+186+187+187+186+149.7+149.7+149.6</f>
        <v>2242</v>
      </c>
      <c r="E96" s="39">
        <f>224+224+225+187+187+186+187+187+186+149.7+149.7+149.6</f>
        <v>2242</v>
      </c>
      <c r="F96" s="34"/>
      <c r="G96" s="34"/>
      <c r="H96" s="34"/>
      <c r="I96" s="34"/>
      <c r="J96" s="34"/>
      <c r="K96" s="34"/>
      <c r="L96" s="34"/>
      <c r="M96" s="34"/>
      <c r="N96" s="34"/>
      <c r="O96" s="34"/>
      <c r="P96" s="51"/>
      <c r="Q96" s="51"/>
      <c r="R96" s="39">
        <v>135</v>
      </c>
      <c r="S96" s="39">
        <v>135</v>
      </c>
      <c r="T96" s="39">
        <v>47.34308</v>
      </c>
      <c r="U96" s="39">
        <v>47.34308</v>
      </c>
      <c r="V96" s="39">
        <v>29</v>
      </c>
      <c r="W96" s="39">
        <v>29</v>
      </c>
      <c r="X96" s="34"/>
      <c r="Y96" s="34"/>
      <c r="Z96" s="51"/>
      <c r="AA96" s="51"/>
      <c r="AB96" s="34"/>
      <c r="AC96" s="34"/>
      <c r="AD96" s="34"/>
      <c r="AE96" s="34"/>
      <c r="AF96" s="39">
        <v>147</v>
      </c>
      <c r="AG96" s="39">
        <f>12.3+12.3+12.3+12.3+12.3+27.3+7.3+11.3+11.5+10+9+9.1</f>
        <v>146.99999999999997</v>
      </c>
      <c r="AH96" s="126">
        <f t="shared" si="65"/>
        <v>2600.34308</v>
      </c>
      <c r="AI96" s="126">
        <f t="shared" si="66"/>
        <v>2600.34308</v>
      </c>
      <c r="AJ96" s="43"/>
      <c r="AK96" s="43"/>
      <c r="AL96" s="134"/>
      <c r="AM96" s="41"/>
      <c r="AN96" s="41"/>
      <c r="AO96" s="41"/>
      <c r="AP96" s="41"/>
      <c r="AQ96" s="41"/>
      <c r="AR96" s="39"/>
      <c r="AS96" s="39"/>
      <c r="AT96" s="43"/>
      <c r="AU96" s="43"/>
      <c r="AV96" s="43"/>
      <c r="AW96" s="43"/>
      <c r="AX96" s="43"/>
      <c r="AY96" s="43"/>
      <c r="AZ96" s="39">
        <f t="shared" si="67"/>
        <v>0</v>
      </c>
      <c r="BA96" s="39">
        <f t="shared" si="61"/>
        <v>0</v>
      </c>
      <c r="BB96" s="39">
        <v>0</v>
      </c>
      <c r="BC96" s="39">
        <v>0</v>
      </c>
      <c r="BD96" s="39">
        <v>41.3</v>
      </c>
      <c r="BE96" s="43">
        <v>41.3</v>
      </c>
      <c r="BF96" s="43"/>
      <c r="BG96" s="43"/>
      <c r="BH96" s="43"/>
      <c r="BI96" s="43"/>
      <c r="BJ96" s="43"/>
      <c r="BK96" s="43"/>
      <c r="BL96" s="43"/>
      <c r="BM96" s="43"/>
      <c r="BN96" s="45"/>
      <c r="BO96" s="45"/>
      <c r="BP96" s="45"/>
      <c r="BQ96" s="45"/>
      <c r="BR96" s="43"/>
      <c r="BS96" s="43"/>
      <c r="BT96" s="43"/>
      <c r="BU96" s="43"/>
      <c r="BV96" s="45"/>
      <c r="BW96" s="45"/>
      <c r="BX96" s="43"/>
      <c r="BY96" s="45"/>
      <c r="BZ96" s="43"/>
      <c r="CA96" s="45"/>
      <c r="CB96" s="45"/>
      <c r="CC96" s="45"/>
      <c r="CD96" s="45"/>
      <c r="CE96" s="45"/>
      <c r="CF96" s="39">
        <f t="shared" si="68"/>
        <v>41.3</v>
      </c>
      <c r="CG96" s="39">
        <f t="shared" si="69"/>
        <v>41.3</v>
      </c>
      <c r="CH96" s="39"/>
      <c r="CI96" s="39"/>
      <c r="CJ96" s="39"/>
      <c r="CK96" s="45"/>
      <c r="CL96" s="45"/>
      <c r="CM96" s="43"/>
      <c r="CN96" s="43"/>
      <c r="CO96" s="43"/>
      <c r="CP96" s="43"/>
      <c r="CQ96" s="39"/>
      <c r="CR96" s="43"/>
      <c r="CS96" s="45"/>
      <c r="CT96" s="45"/>
      <c r="CU96" s="45"/>
      <c r="CV96" s="45"/>
      <c r="CW96" s="43"/>
      <c r="CX96" s="43"/>
      <c r="CY96" s="43"/>
      <c r="CZ96" s="39"/>
      <c r="DA96" s="45"/>
      <c r="DB96" s="43"/>
      <c r="DC96" s="43"/>
      <c r="DD96" s="43"/>
      <c r="DE96" s="43"/>
      <c r="DF96" s="39">
        <f t="shared" si="70"/>
        <v>0</v>
      </c>
      <c r="DG96" s="39">
        <f t="shared" si="71"/>
        <v>0</v>
      </c>
      <c r="DH96" s="39"/>
      <c r="DI96" s="39"/>
      <c r="DJ96" s="39">
        <v>0</v>
      </c>
      <c r="DK96" s="39">
        <f t="shared" si="62"/>
        <v>0</v>
      </c>
      <c r="DL96" s="39"/>
      <c r="DM96" s="39"/>
      <c r="DN96" s="43"/>
      <c r="DO96" s="43"/>
      <c r="DP96" s="39">
        <f t="shared" si="72"/>
        <v>0</v>
      </c>
      <c r="DQ96" s="39">
        <f t="shared" si="63"/>
        <v>0</v>
      </c>
      <c r="DR96" s="39"/>
      <c r="DS96" s="39"/>
      <c r="DT96" s="43"/>
      <c r="DU96" s="43"/>
      <c r="DV96" s="43"/>
      <c r="DW96" s="43"/>
      <c r="DX96" s="43"/>
      <c r="DY96" s="43"/>
      <c r="DZ96" s="39"/>
      <c r="EA96" s="39"/>
      <c r="EB96" s="43"/>
      <c r="EC96" s="43"/>
      <c r="ED96" s="43"/>
      <c r="EE96" s="43"/>
      <c r="EF96" s="39">
        <v>673</v>
      </c>
      <c r="EG96" s="43">
        <v>640.8095</v>
      </c>
      <c r="EH96" s="43">
        <v>187</v>
      </c>
      <c r="EI96" s="39">
        <v>187</v>
      </c>
      <c r="EJ96" s="39">
        <v>89</v>
      </c>
      <c r="EK96" s="43">
        <v>89</v>
      </c>
      <c r="EL96" s="43"/>
      <c r="EM96" s="43"/>
      <c r="EN96" s="45"/>
      <c r="EO96" s="45"/>
      <c r="EP96" s="43"/>
      <c r="EQ96" s="43"/>
      <c r="ER96" s="43"/>
      <c r="ES96" s="43"/>
      <c r="ET96" s="135"/>
      <c r="EU96" s="135"/>
      <c r="EV96" s="135"/>
      <c r="EW96" s="135"/>
      <c r="EX96" s="43"/>
      <c r="EY96" s="43"/>
      <c r="EZ96" s="43"/>
      <c r="FA96" s="43"/>
      <c r="FB96" s="37">
        <f t="shared" si="73"/>
        <v>949</v>
      </c>
      <c r="FC96" s="37">
        <f t="shared" si="74"/>
        <v>916.8095</v>
      </c>
      <c r="FD96" s="39"/>
      <c r="FE96" s="39"/>
      <c r="FF96" s="43"/>
      <c r="FG96" s="43"/>
      <c r="FH96" s="132">
        <f t="shared" si="75"/>
        <v>0</v>
      </c>
      <c r="FI96" s="132">
        <f t="shared" si="64"/>
        <v>0</v>
      </c>
      <c r="FJ96" s="39"/>
      <c r="FK96" s="39"/>
      <c r="FL96" s="43"/>
      <c r="FM96" s="43"/>
      <c r="FN96" s="43"/>
      <c r="FO96" s="43"/>
      <c r="FP96" s="43"/>
      <c r="FQ96" s="43"/>
      <c r="FR96" s="39"/>
      <c r="FS96" s="135"/>
      <c r="FT96" s="43"/>
      <c r="FU96" s="43"/>
      <c r="FV96" s="43"/>
      <c r="FW96" s="43"/>
      <c r="FX96" s="43"/>
      <c r="FY96" s="43"/>
      <c r="FZ96" s="43"/>
      <c r="GA96" s="43"/>
      <c r="GB96" s="43"/>
      <c r="GC96" s="43"/>
      <c r="GD96" s="135"/>
      <c r="GE96" s="135"/>
      <c r="GF96" s="43"/>
      <c r="GG96" s="43"/>
      <c r="GH96" s="43"/>
      <c r="GI96" s="43"/>
      <c r="GJ96" s="43"/>
      <c r="GK96" s="43"/>
      <c r="GL96" s="43"/>
      <c r="GM96" s="43"/>
      <c r="GN96" s="43"/>
      <c r="GO96" s="43"/>
      <c r="GP96" s="43"/>
      <c r="GQ96" s="43"/>
      <c r="GR96" s="43"/>
      <c r="GS96" s="43"/>
      <c r="GT96" s="43"/>
      <c r="GU96" s="43"/>
      <c r="GV96" s="43"/>
      <c r="GW96" s="43"/>
      <c r="GX96" s="45"/>
      <c r="GY96" s="45"/>
      <c r="GZ96" s="43"/>
      <c r="HA96" s="43"/>
      <c r="HB96" s="43"/>
      <c r="HC96" s="43"/>
      <c r="HD96" s="39">
        <f t="shared" si="76"/>
        <v>0</v>
      </c>
      <c r="HE96" s="39">
        <f t="shared" si="77"/>
        <v>0</v>
      </c>
      <c r="HF96" s="39"/>
      <c r="HG96" s="39"/>
      <c r="HH96" s="39"/>
      <c r="HI96" s="43"/>
      <c r="HJ96" s="43"/>
      <c r="HK96" s="43"/>
      <c r="HL96" s="43"/>
      <c r="HM96" s="43"/>
      <c r="HN96" s="136"/>
      <c r="HO96" s="136"/>
      <c r="HP96" s="39">
        <f t="shared" si="78"/>
        <v>0</v>
      </c>
      <c r="HQ96" s="39">
        <f t="shared" si="79"/>
        <v>0</v>
      </c>
      <c r="HR96" s="39"/>
      <c r="HS96" s="39"/>
      <c r="HT96" s="39"/>
      <c r="HU96" s="43"/>
      <c r="HV96" s="39"/>
      <c r="HW96" s="39"/>
      <c r="HX96" s="39">
        <f t="shared" si="80"/>
        <v>0</v>
      </c>
      <c r="HY96" s="39">
        <f t="shared" si="81"/>
        <v>0</v>
      </c>
    </row>
    <row r="97" spans="1:233" ht="12.75">
      <c r="A97" s="14" t="s">
        <v>261</v>
      </c>
      <c r="B97" s="34"/>
      <c r="C97" s="34"/>
      <c r="D97" s="39">
        <f>144+144+144+120+120+121+120+120+121+96+96+96</f>
        <v>1442</v>
      </c>
      <c r="E97" s="39">
        <f>144+144+144+120+120+121+120+120+121+96+96+96</f>
        <v>1442</v>
      </c>
      <c r="F97" s="34"/>
      <c r="G97" s="34"/>
      <c r="H97" s="34"/>
      <c r="I97" s="34"/>
      <c r="J97" s="34"/>
      <c r="K97" s="34"/>
      <c r="L97" s="34"/>
      <c r="M97" s="34"/>
      <c r="N97" s="34"/>
      <c r="O97" s="34"/>
      <c r="P97" s="51"/>
      <c r="Q97" s="51"/>
      <c r="R97" s="39"/>
      <c r="S97" s="39"/>
      <c r="T97" s="39">
        <v>0.1387</v>
      </c>
      <c r="U97" s="39">
        <v>0.1387</v>
      </c>
      <c r="V97" s="39"/>
      <c r="W97" s="34"/>
      <c r="X97" s="34"/>
      <c r="Y97" s="34"/>
      <c r="Z97" s="51"/>
      <c r="AA97" s="51"/>
      <c r="AB97" s="34"/>
      <c r="AC97" s="34"/>
      <c r="AD97" s="34"/>
      <c r="AE97" s="34"/>
      <c r="AF97" s="39">
        <v>147</v>
      </c>
      <c r="AG97" s="39">
        <f>12.3+12.3+12.3+12.3+12.3+29+3+12+10+10+10+11.5</f>
        <v>147</v>
      </c>
      <c r="AH97" s="126">
        <f t="shared" si="65"/>
        <v>1589.1387</v>
      </c>
      <c r="AI97" s="126">
        <f t="shared" si="66"/>
        <v>1589.1387</v>
      </c>
      <c r="AJ97" s="43"/>
      <c r="AK97" s="43"/>
      <c r="AL97" s="134"/>
      <c r="AM97" s="41"/>
      <c r="AN97" s="41"/>
      <c r="AO97" s="41"/>
      <c r="AP97" s="41"/>
      <c r="AQ97" s="41"/>
      <c r="AR97" s="39"/>
      <c r="AS97" s="39"/>
      <c r="AT97" s="43"/>
      <c r="AU97" s="43"/>
      <c r="AV97" s="43"/>
      <c r="AW97" s="43"/>
      <c r="AX97" s="43"/>
      <c r="AY97" s="43"/>
      <c r="AZ97" s="39">
        <f t="shared" si="67"/>
        <v>0</v>
      </c>
      <c r="BA97" s="39">
        <f t="shared" si="61"/>
        <v>0</v>
      </c>
      <c r="BB97" s="39">
        <v>0</v>
      </c>
      <c r="BC97" s="39">
        <v>0</v>
      </c>
      <c r="BD97" s="39"/>
      <c r="BE97" s="43"/>
      <c r="BF97" s="43"/>
      <c r="BG97" s="43"/>
      <c r="BH97" s="43"/>
      <c r="BI97" s="43"/>
      <c r="BJ97" s="43"/>
      <c r="BK97" s="43"/>
      <c r="BL97" s="43"/>
      <c r="BM97" s="43"/>
      <c r="BN97" s="45"/>
      <c r="BO97" s="45"/>
      <c r="BP97" s="45"/>
      <c r="BQ97" s="45"/>
      <c r="BR97" s="43"/>
      <c r="BS97" s="43"/>
      <c r="BT97" s="43"/>
      <c r="BU97" s="43"/>
      <c r="BV97" s="45"/>
      <c r="BW97" s="45"/>
      <c r="BX97" s="43"/>
      <c r="BY97" s="45"/>
      <c r="BZ97" s="43"/>
      <c r="CA97" s="45"/>
      <c r="CB97" s="45"/>
      <c r="CC97" s="45"/>
      <c r="CD97" s="45"/>
      <c r="CE97" s="45"/>
      <c r="CF97" s="39">
        <f t="shared" si="68"/>
        <v>0</v>
      </c>
      <c r="CG97" s="39">
        <f t="shared" si="69"/>
        <v>0</v>
      </c>
      <c r="CH97" s="39"/>
      <c r="CI97" s="39"/>
      <c r="CJ97" s="39"/>
      <c r="CK97" s="45"/>
      <c r="CL97" s="45"/>
      <c r="CM97" s="43"/>
      <c r="CN97" s="43"/>
      <c r="CO97" s="43"/>
      <c r="CP97" s="43"/>
      <c r="CQ97" s="39"/>
      <c r="CR97" s="43"/>
      <c r="CS97" s="45"/>
      <c r="CT97" s="45"/>
      <c r="CU97" s="45"/>
      <c r="CV97" s="45"/>
      <c r="CW97" s="43"/>
      <c r="CX97" s="43"/>
      <c r="CY97" s="43"/>
      <c r="CZ97" s="39"/>
      <c r="DA97" s="45"/>
      <c r="DB97" s="43"/>
      <c r="DC97" s="43"/>
      <c r="DD97" s="43"/>
      <c r="DE97" s="43"/>
      <c r="DF97" s="39">
        <f t="shared" si="70"/>
        <v>0</v>
      </c>
      <c r="DG97" s="39">
        <f t="shared" si="71"/>
        <v>0</v>
      </c>
      <c r="DH97" s="39"/>
      <c r="DI97" s="39"/>
      <c r="DJ97" s="39">
        <v>0</v>
      </c>
      <c r="DK97" s="39">
        <f t="shared" si="62"/>
        <v>0</v>
      </c>
      <c r="DL97" s="39"/>
      <c r="DM97" s="39"/>
      <c r="DN97" s="43"/>
      <c r="DO97" s="43"/>
      <c r="DP97" s="39">
        <f t="shared" si="72"/>
        <v>0</v>
      </c>
      <c r="DQ97" s="39">
        <f t="shared" si="63"/>
        <v>0</v>
      </c>
      <c r="DR97" s="39"/>
      <c r="DS97" s="39"/>
      <c r="DT97" s="43"/>
      <c r="DU97" s="43"/>
      <c r="DV97" s="43"/>
      <c r="DW97" s="43"/>
      <c r="DX97" s="43"/>
      <c r="DY97" s="43"/>
      <c r="DZ97" s="39"/>
      <c r="EA97" s="39"/>
      <c r="EB97" s="43"/>
      <c r="EC97" s="43"/>
      <c r="ED97" s="43"/>
      <c r="EE97" s="43"/>
      <c r="EF97" s="39"/>
      <c r="EG97" s="43"/>
      <c r="EH97" s="43">
        <v>177</v>
      </c>
      <c r="EI97" s="39">
        <v>177</v>
      </c>
      <c r="EJ97" s="39">
        <v>100</v>
      </c>
      <c r="EK97" s="43">
        <v>100</v>
      </c>
      <c r="EL97" s="43"/>
      <c r="EM97" s="43"/>
      <c r="EN97" s="45"/>
      <c r="EO97" s="45"/>
      <c r="EP97" s="43"/>
      <c r="EQ97" s="43"/>
      <c r="ER97" s="43"/>
      <c r="ES97" s="43"/>
      <c r="ET97" s="135"/>
      <c r="EU97" s="135"/>
      <c r="EV97" s="135"/>
      <c r="EW97" s="135"/>
      <c r="EX97" s="43"/>
      <c r="EY97" s="43"/>
      <c r="EZ97" s="43"/>
      <c r="FA97" s="43"/>
      <c r="FB97" s="37">
        <f t="shared" si="73"/>
        <v>277</v>
      </c>
      <c r="FC97" s="37">
        <f t="shared" si="74"/>
        <v>277</v>
      </c>
      <c r="FD97" s="39"/>
      <c r="FE97" s="39"/>
      <c r="FF97" s="43"/>
      <c r="FG97" s="43"/>
      <c r="FH97" s="132">
        <f t="shared" si="75"/>
        <v>0</v>
      </c>
      <c r="FI97" s="132">
        <f t="shared" si="64"/>
        <v>0</v>
      </c>
      <c r="FJ97" s="39"/>
      <c r="FK97" s="39"/>
      <c r="FL97" s="43"/>
      <c r="FM97" s="43"/>
      <c r="FN97" s="43"/>
      <c r="FO97" s="43"/>
      <c r="FP97" s="43"/>
      <c r="FQ97" s="43"/>
      <c r="FR97" s="39"/>
      <c r="FS97" s="135"/>
      <c r="FT97" s="43"/>
      <c r="FU97" s="43"/>
      <c r="FV97" s="43"/>
      <c r="FW97" s="43"/>
      <c r="FX97" s="43"/>
      <c r="FY97" s="43"/>
      <c r="FZ97" s="43"/>
      <c r="GA97" s="43"/>
      <c r="GB97" s="43"/>
      <c r="GC97" s="43"/>
      <c r="GD97" s="135"/>
      <c r="GE97" s="135"/>
      <c r="GF97" s="43"/>
      <c r="GG97" s="43"/>
      <c r="GH97" s="43"/>
      <c r="GI97" s="43"/>
      <c r="GJ97" s="43"/>
      <c r="GK97" s="43"/>
      <c r="GL97" s="43"/>
      <c r="GM97" s="43"/>
      <c r="GN97" s="43"/>
      <c r="GO97" s="43"/>
      <c r="GP97" s="43"/>
      <c r="GQ97" s="43"/>
      <c r="GR97" s="43"/>
      <c r="GS97" s="43"/>
      <c r="GT97" s="43"/>
      <c r="GU97" s="43"/>
      <c r="GV97" s="43"/>
      <c r="GW97" s="43"/>
      <c r="GX97" s="45"/>
      <c r="GY97" s="45"/>
      <c r="GZ97" s="43"/>
      <c r="HA97" s="43"/>
      <c r="HB97" s="43"/>
      <c r="HC97" s="43"/>
      <c r="HD97" s="39">
        <f t="shared" si="76"/>
        <v>0</v>
      </c>
      <c r="HE97" s="39">
        <f t="shared" si="77"/>
        <v>0</v>
      </c>
      <c r="HF97" s="39"/>
      <c r="HG97" s="39"/>
      <c r="HH97" s="39"/>
      <c r="HI97" s="43"/>
      <c r="HJ97" s="43"/>
      <c r="HK97" s="43"/>
      <c r="HL97" s="43"/>
      <c r="HM97" s="43"/>
      <c r="HN97" s="136"/>
      <c r="HO97" s="136"/>
      <c r="HP97" s="39">
        <f t="shared" si="78"/>
        <v>0</v>
      </c>
      <c r="HQ97" s="39">
        <f t="shared" si="79"/>
        <v>0</v>
      </c>
      <c r="HR97" s="39"/>
      <c r="HS97" s="39"/>
      <c r="HT97" s="39"/>
      <c r="HU97" s="43"/>
      <c r="HV97" s="39"/>
      <c r="HW97" s="39"/>
      <c r="HX97" s="39">
        <f t="shared" si="80"/>
        <v>0</v>
      </c>
      <c r="HY97" s="39">
        <f t="shared" si="81"/>
        <v>0</v>
      </c>
    </row>
    <row r="98" spans="1:233" ht="12.75" customHeight="1">
      <c r="A98" s="14" t="s">
        <v>262</v>
      </c>
      <c r="B98" s="34"/>
      <c r="C98" s="34"/>
      <c r="D98" s="39">
        <f>314+314+314+262+262+261+262+262+261+209.3+209.4+209.3</f>
        <v>3140.0000000000005</v>
      </c>
      <c r="E98" s="39">
        <f>314+314+314+262+262+261+262+262+261+209.3+209.4+209.3</f>
        <v>3140.0000000000005</v>
      </c>
      <c r="F98" s="34"/>
      <c r="G98" s="34"/>
      <c r="H98" s="34"/>
      <c r="I98" s="34"/>
      <c r="J98" s="34"/>
      <c r="K98" s="34"/>
      <c r="L98" s="34"/>
      <c r="M98" s="34"/>
      <c r="N98" s="34"/>
      <c r="O98" s="34"/>
      <c r="P98" s="51"/>
      <c r="Q98" s="51"/>
      <c r="R98" s="39">
        <v>20</v>
      </c>
      <c r="S98" s="39">
        <f>17.65865</f>
        <v>17.65865</v>
      </c>
      <c r="T98" s="39">
        <v>5.82138</v>
      </c>
      <c r="U98" s="39">
        <v>5.82138</v>
      </c>
      <c r="V98" s="39">
        <v>306.1</v>
      </c>
      <c r="W98" s="34">
        <f>200.5+43.5+62.1</f>
        <v>306.1</v>
      </c>
      <c r="X98" s="34"/>
      <c r="Y98" s="34"/>
      <c r="Z98" s="51"/>
      <c r="AA98" s="51"/>
      <c r="AB98" s="34"/>
      <c r="AC98" s="34"/>
      <c r="AD98" s="34"/>
      <c r="AE98" s="34"/>
      <c r="AF98" s="39">
        <v>147</v>
      </c>
      <c r="AG98" s="39">
        <f>12.3+12.3+12.3+12.3+12.3+12.3+12.3+16+11+8+8+17.9</f>
        <v>147</v>
      </c>
      <c r="AH98" s="126">
        <f t="shared" si="65"/>
        <v>3618.92138</v>
      </c>
      <c r="AI98" s="126">
        <f t="shared" si="66"/>
        <v>3616.58003</v>
      </c>
      <c r="AJ98" s="43"/>
      <c r="AK98" s="43"/>
      <c r="AL98" s="134"/>
      <c r="AM98" s="41"/>
      <c r="AN98" s="41"/>
      <c r="AO98" s="41"/>
      <c r="AP98" s="41"/>
      <c r="AQ98" s="41"/>
      <c r="AR98" s="39"/>
      <c r="AS98" s="39"/>
      <c r="AT98" s="43"/>
      <c r="AU98" s="43"/>
      <c r="AV98" s="43"/>
      <c r="AW98" s="43"/>
      <c r="AX98" s="43"/>
      <c r="AY98" s="43"/>
      <c r="AZ98" s="39">
        <f t="shared" si="67"/>
        <v>0</v>
      </c>
      <c r="BA98" s="39">
        <f t="shared" si="61"/>
        <v>0</v>
      </c>
      <c r="BB98" s="39">
        <v>0</v>
      </c>
      <c r="BC98" s="39">
        <v>0</v>
      </c>
      <c r="BD98" s="39">
        <v>152.2</v>
      </c>
      <c r="BE98" s="43">
        <v>151.9</v>
      </c>
      <c r="BF98" s="43"/>
      <c r="BG98" s="43"/>
      <c r="BH98" s="43"/>
      <c r="BI98" s="43"/>
      <c r="BJ98" s="43"/>
      <c r="BK98" s="43"/>
      <c r="BL98" s="43"/>
      <c r="BM98" s="43"/>
      <c r="BN98" s="45"/>
      <c r="BO98" s="45"/>
      <c r="BP98" s="45"/>
      <c r="BQ98" s="45"/>
      <c r="BR98" s="43"/>
      <c r="BS98" s="43"/>
      <c r="BT98" s="43"/>
      <c r="BU98" s="43"/>
      <c r="BV98" s="45"/>
      <c r="BW98" s="45"/>
      <c r="BX98" s="43"/>
      <c r="BY98" s="45"/>
      <c r="BZ98" s="43"/>
      <c r="CA98" s="45"/>
      <c r="CB98" s="45"/>
      <c r="CC98" s="45"/>
      <c r="CD98" s="45"/>
      <c r="CE98" s="45"/>
      <c r="CF98" s="39">
        <f t="shared" si="68"/>
        <v>152.2</v>
      </c>
      <c r="CG98" s="39">
        <f t="shared" si="69"/>
        <v>151.9</v>
      </c>
      <c r="CH98" s="39"/>
      <c r="CI98" s="39"/>
      <c r="CJ98" s="39"/>
      <c r="CK98" s="45"/>
      <c r="CL98" s="45"/>
      <c r="CM98" s="43"/>
      <c r="CN98" s="43"/>
      <c r="CO98" s="43"/>
      <c r="CP98" s="43"/>
      <c r="CQ98" s="39"/>
      <c r="CR98" s="43"/>
      <c r="CS98" s="45"/>
      <c r="CT98" s="45"/>
      <c r="CU98" s="45"/>
      <c r="CV98" s="45"/>
      <c r="CW98" s="43"/>
      <c r="CX98" s="43"/>
      <c r="CY98" s="43"/>
      <c r="CZ98" s="39"/>
      <c r="DA98" s="45"/>
      <c r="DB98" s="43"/>
      <c r="DC98" s="43"/>
      <c r="DD98" s="43"/>
      <c r="DE98" s="43"/>
      <c r="DF98" s="39">
        <f t="shared" si="70"/>
        <v>0</v>
      </c>
      <c r="DG98" s="39">
        <f t="shared" si="71"/>
        <v>0</v>
      </c>
      <c r="DH98" s="39"/>
      <c r="DI98" s="39"/>
      <c r="DJ98" s="39">
        <v>0</v>
      </c>
      <c r="DK98" s="39">
        <f t="shared" si="62"/>
        <v>0</v>
      </c>
      <c r="DL98" s="39"/>
      <c r="DM98" s="39"/>
      <c r="DN98" s="43"/>
      <c r="DO98" s="43"/>
      <c r="DP98" s="39">
        <f t="shared" si="72"/>
        <v>0</v>
      </c>
      <c r="DQ98" s="39">
        <f t="shared" si="63"/>
        <v>0</v>
      </c>
      <c r="DR98" s="39"/>
      <c r="DS98" s="39"/>
      <c r="DT98" s="43"/>
      <c r="DU98" s="43"/>
      <c r="DV98" s="43"/>
      <c r="DW98" s="43"/>
      <c r="DX98" s="43"/>
      <c r="DY98" s="43"/>
      <c r="DZ98" s="39"/>
      <c r="EA98" s="39"/>
      <c r="EB98" s="43"/>
      <c r="EC98" s="43"/>
      <c r="ED98" s="43"/>
      <c r="EE98" s="43"/>
      <c r="EF98" s="39"/>
      <c r="EG98" s="43"/>
      <c r="EH98" s="43">
        <v>143</v>
      </c>
      <c r="EI98" s="39">
        <v>143</v>
      </c>
      <c r="EJ98" s="39">
        <v>133</v>
      </c>
      <c r="EK98" s="43">
        <v>125</v>
      </c>
      <c r="EL98" s="43"/>
      <c r="EM98" s="43"/>
      <c r="EN98" s="45"/>
      <c r="EO98" s="45"/>
      <c r="EP98" s="43"/>
      <c r="EQ98" s="43"/>
      <c r="ER98" s="43"/>
      <c r="ES98" s="43"/>
      <c r="ET98" s="135"/>
      <c r="EU98" s="135"/>
      <c r="EV98" s="135"/>
      <c r="EW98" s="135"/>
      <c r="EX98" s="43"/>
      <c r="EY98" s="43"/>
      <c r="EZ98" s="43"/>
      <c r="FA98" s="43"/>
      <c r="FB98" s="37">
        <f t="shared" si="73"/>
        <v>276</v>
      </c>
      <c r="FC98" s="37">
        <f t="shared" si="74"/>
        <v>268</v>
      </c>
      <c r="FD98" s="39"/>
      <c r="FE98" s="39"/>
      <c r="FF98" s="43"/>
      <c r="FG98" s="43"/>
      <c r="FH98" s="132">
        <f t="shared" si="75"/>
        <v>0</v>
      </c>
      <c r="FI98" s="132">
        <f t="shared" si="64"/>
        <v>0</v>
      </c>
      <c r="FJ98" s="39"/>
      <c r="FK98" s="39"/>
      <c r="FL98" s="43"/>
      <c r="FM98" s="43"/>
      <c r="FN98" s="43"/>
      <c r="FO98" s="43"/>
      <c r="FP98" s="43"/>
      <c r="FQ98" s="43"/>
      <c r="FR98" s="39"/>
      <c r="FS98" s="135"/>
      <c r="FT98" s="43"/>
      <c r="FU98" s="43"/>
      <c r="FV98" s="43"/>
      <c r="FW98" s="43"/>
      <c r="FX98" s="43"/>
      <c r="FY98" s="43"/>
      <c r="FZ98" s="43"/>
      <c r="GA98" s="43"/>
      <c r="GB98" s="43"/>
      <c r="GC98" s="43"/>
      <c r="GD98" s="135"/>
      <c r="GE98" s="135"/>
      <c r="GF98" s="43"/>
      <c r="GG98" s="43"/>
      <c r="GH98" s="43"/>
      <c r="GI98" s="43"/>
      <c r="GJ98" s="43"/>
      <c r="GK98" s="43"/>
      <c r="GL98" s="43"/>
      <c r="GM98" s="43"/>
      <c r="GN98" s="43"/>
      <c r="GO98" s="43"/>
      <c r="GP98" s="43"/>
      <c r="GQ98" s="43"/>
      <c r="GR98" s="43"/>
      <c r="GS98" s="43"/>
      <c r="GT98" s="43"/>
      <c r="GU98" s="43"/>
      <c r="GV98" s="43"/>
      <c r="GW98" s="43"/>
      <c r="GX98" s="45"/>
      <c r="GY98" s="45"/>
      <c r="GZ98" s="43"/>
      <c r="HA98" s="43"/>
      <c r="HB98" s="43"/>
      <c r="HC98" s="43"/>
      <c r="HD98" s="39">
        <f t="shared" si="76"/>
        <v>0</v>
      </c>
      <c r="HE98" s="39">
        <f t="shared" si="77"/>
        <v>0</v>
      </c>
      <c r="HF98" s="39"/>
      <c r="HG98" s="39"/>
      <c r="HH98" s="39"/>
      <c r="HI98" s="43"/>
      <c r="HJ98" s="43"/>
      <c r="HK98" s="43"/>
      <c r="HL98" s="43"/>
      <c r="HM98" s="43"/>
      <c r="HN98" s="136"/>
      <c r="HO98" s="136"/>
      <c r="HP98" s="39">
        <f t="shared" si="78"/>
        <v>0</v>
      </c>
      <c r="HQ98" s="39">
        <f t="shared" si="79"/>
        <v>0</v>
      </c>
      <c r="HR98" s="39"/>
      <c r="HS98" s="39"/>
      <c r="HT98" s="39"/>
      <c r="HU98" s="43"/>
      <c r="HV98" s="39"/>
      <c r="HW98" s="39"/>
      <c r="HX98" s="39">
        <f t="shared" si="80"/>
        <v>0</v>
      </c>
      <c r="HY98" s="39">
        <f t="shared" si="81"/>
        <v>0</v>
      </c>
    </row>
    <row r="99" spans="1:233" ht="12.75">
      <c r="A99" s="14" t="s">
        <v>263</v>
      </c>
      <c r="B99" s="34"/>
      <c r="C99" s="34"/>
      <c r="D99" s="39">
        <f>195+195+196+163+163+163+163+163+163+130.3+130.4+130.3</f>
        <v>1955</v>
      </c>
      <c r="E99" s="39">
        <f>195+195+196+163+163+163+163+163+163+130.3+130.4+130.3</f>
        <v>1955</v>
      </c>
      <c r="F99" s="34"/>
      <c r="G99" s="34"/>
      <c r="H99" s="34"/>
      <c r="I99" s="34"/>
      <c r="J99" s="34"/>
      <c r="K99" s="34"/>
      <c r="L99" s="34"/>
      <c r="M99" s="34"/>
      <c r="N99" s="34"/>
      <c r="O99" s="34"/>
      <c r="P99" s="51"/>
      <c r="Q99" s="51"/>
      <c r="R99" s="39">
        <v>150</v>
      </c>
      <c r="S99" s="39">
        <v>150</v>
      </c>
      <c r="T99" s="39">
        <v>47.81899</v>
      </c>
      <c r="U99" s="39">
        <v>47.81899</v>
      </c>
      <c r="V99" s="39">
        <v>355.9</v>
      </c>
      <c r="W99" s="34">
        <f>71+34+94+115.4+41.5</f>
        <v>355.9</v>
      </c>
      <c r="X99" s="34"/>
      <c r="Y99" s="34"/>
      <c r="Z99" s="51"/>
      <c r="AA99" s="51"/>
      <c r="AB99" s="34"/>
      <c r="AC99" s="34"/>
      <c r="AD99" s="34"/>
      <c r="AE99" s="34"/>
      <c r="AF99" s="39">
        <v>147</v>
      </c>
      <c r="AG99" s="39">
        <f>12.3+12.3+12.3+12.3+12.3+12.3+29+2+3+17+10+12.2</f>
        <v>147</v>
      </c>
      <c r="AH99" s="126">
        <f t="shared" si="65"/>
        <v>2655.7189900000003</v>
      </c>
      <c r="AI99" s="126">
        <f t="shared" si="66"/>
        <v>2655.7189900000003</v>
      </c>
      <c r="AJ99" s="43"/>
      <c r="AK99" s="43"/>
      <c r="AL99" s="134"/>
      <c r="AM99" s="41"/>
      <c r="AN99" s="41"/>
      <c r="AO99" s="41"/>
      <c r="AP99" s="41"/>
      <c r="AQ99" s="41"/>
      <c r="AR99" s="39"/>
      <c r="AS99" s="39"/>
      <c r="AT99" s="43"/>
      <c r="AU99" s="43"/>
      <c r="AV99" s="43"/>
      <c r="AW99" s="43"/>
      <c r="AX99" s="43"/>
      <c r="AY99" s="43"/>
      <c r="AZ99" s="39">
        <f t="shared" si="67"/>
        <v>0</v>
      </c>
      <c r="BA99" s="39">
        <f t="shared" si="61"/>
        <v>0</v>
      </c>
      <c r="BB99" s="39">
        <v>0</v>
      </c>
      <c r="BC99" s="39">
        <v>0</v>
      </c>
      <c r="BD99" s="39">
        <v>134.9</v>
      </c>
      <c r="BE99" s="43">
        <v>102.095</v>
      </c>
      <c r="BF99" s="43"/>
      <c r="BG99" s="43"/>
      <c r="BH99" s="43"/>
      <c r="BI99" s="43"/>
      <c r="BJ99" s="43"/>
      <c r="BK99" s="43"/>
      <c r="BL99" s="43"/>
      <c r="BM99" s="43"/>
      <c r="BN99" s="45"/>
      <c r="BO99" s="45"/>
      <c r="BP99" s="45"/>
      <c r="BQ99" s="45"/>
      <c r="BR99" s="43"/>
      <c r="BS99" s="43"/>
      <c r="BT99" s="43"/>
      <c r="BU99" s="43"/>
      <c r="BV99" s="45"/>
      <c r="BW99" s="45"/>
      <c r="BX99" s="43"/>
      <c r="BY99" s="45"/>
      <c r="BZ99" s="43"/>
      <c r="CA99" s="45"/>
      <c r="CB99" s="45"/>
      <c r="CC99" s="45"/>
      <c r="CD99" s="45"/>
      <c r="CE99" s="45"/>
      <c r="CF99" s="39">
        <f t="shared" si="68"/>
        <v>134.9</v>
      </c>
      <c r="CG99" s="39">
        <f t="shared" si="69"/>
        <v>102.095</v>
      </c>
      <c r="CH99" s="39"/>
      <c r="CI99" s="39"/>
      <c r="CJ99" s="39"/>
      <c r="CK99" s="45"/>
      <c r="CL99" s="45"/>
      <c r="CM99" s="43"/>
      <c r="CN99" s="43"/>
      <c r="CO99" s="43"/>
      <c r="CP99" s="43"/>
      <c r="CQ99" s="39"/>
      <c r="CR99" s="43"/>
      <c r="CS99" s="45"/>
      <c r="CT99" s="45"/>
      <c r="CU99" s="45"/>
      <c r="CV99" s="45"/>
      <c r="CW99" s="43"/>
      <c r="CX99" s="43"/>
      <c r="CY99" s="43"/>
      <c r="CZ99" s="39"/>
      <c r="DA99" s="45"/>
      <c r="DB99" s="43"/>
      <c r="DC99" s="43"/>
      <c r="DD99" s="43"/>
      <c r="DE99" s="43"/>
      <c r="DF99" s="39">
        <f t="shared" si="70"/>
        <v>0</v>
      </c>
      <c r="DG99" s="39">
        <f t="shared" si="71"/>
        <v>0</v>
      </c>
      <c r="DH99" s="39"/>
      <c r="DI99" s="39"/>
      <c r="DJ99" s="39">
        <v>0</v>
      </c>
      <c r="DK99" s="39">
        <f t="shared" si="62"/>
        <v>0</v>
      </c>
      <c r="DL99" s="39"/>
      <c r="DM99" s="39"/>
      <c r="DN99" s="43"/>
      <c r="DO99" s="43"/>
      <c r="DP99" s="39">
        <f t="shared" si="72"/>
        <v>0</v>
      </c>
      <c r="DQ99" s="39">
        <f t="shared" si="63"/>
        <v>0</v>
      </c>
      <c r="DR99" s="39"/>
      <c r="DS99" s="39"/>
      <c r="DT99" s="43"/>
      <c r="DU99" s="43"/>
      <c r="DV99" s="43"/>
      <c r="DW99" s="43"/>
      <c r="DX99" s="43"/>
      <c r="DY99" s="43"/>
      <c r="DZ99" s="39"/>
      <c r="EA99" s="39"/>
      <c r="EB99" s="43"/>
      <c r="EC99" s="43"/>
      <c r="ED99" s="43"/>
      <c r="EE99" s="43"/>
      <c r="EF99" s="39">
        <v>266</v>
      </c>
      <c r="EG99" s="43">
        <v>266</v>
      </c>
      <c r="EH99" s="43">
        <v>202</v>
      </c>
      <c r="EI99" s="39">
        <v>202</v>
      </c>
      <c r="EJ99" s="39">
        <v>179</v>
      </c>
      <c r="EK99" s="43">
        <v>168</v>
      </c>
      <c r="EL99" s="43"/>
      <c r="EM99" s="43"/>
      <c r="EN99" s="45"/>
      <c r="EO99" s="45"/>
      <c r="EP99" s="43"/>
      <c r="EQ99" s="43"/>
      <c r="ER99" s="43"/>
      <c r="ES99" s="43"/>
      <c r="ET99" s="135"/>
      <c r="EU99" s="135"/>
      <c r="EV99" s="135"/>
      <c r="EW99" s="135"/>
      <c r="EX99" s="43"/>
      <c r="EY99" s="43"/>
      <c r="EZ99" s="43"/>
      <c r="FA99" s="43"/>
      <c r="FB99" s="37">
        <f t="shared" si="73"/>
        <v>647</v>
      </c>
      <c r="FC99" s="37">
        <f t="shared" si="74"/>
        <v>636</v>
      </c>
      <c r="FD99" s="39"/>
      <c r="FE99" s="39"/>
      <c r="FF99" s="43"/>
      <c r="FG99" s="43"/>
      <c r="FH99" s="132">
        <f t="shared" si="75"/>
        <v>0</v>
      </c>
      <c r="FI99" s="132">
        <f t="shared" si="64"/>
        <v>0</v>
      </c>
      <c r="FJ99" s="39"/>
      <c r="FK99" s="39"/>
      <c r="FL99" s="43"/>
      <c r="FM99" s="43"/>
      <c r="FN99" s="43"/>
      <c r="FO99" s="43"/>
      <c r="FP99" s="43"/>
      <c r="FQ99" s="43"/>
      <c r="FR99" s="39"/>
      <c r="FS99" s="135"/>
      <c r="FT99" s="43"/>
      <c r="FU99" s="43"/>
      <c r="FV99" s="43"/>
      <c r="FW99" s="43"/>
      <c r="FX99" s="43"/>
      <c r="FY99" s="43"/>
      <c r="FZ99" s="43"/>
      <c r="GA99" s="43"/>
      <c r="GB99" s="43"/>
      <c r="GC99" s="43"/>
      <c r="GD99" s="135"/>
      <c r="GE99" s="135"/>
      <c r="GF99" s="43"/>
      <c r="GG99" s="43"/>
      <c r="GH99" s="43"/>
      <c r="GI99" s="43"/>
      <c r="GJ99" s="43"/>
      <c r="GK99" s="43"/>
      <c r="GL99" s="43"/>
      <c r="GM99" s="43"/>
      <c r="GN99" s="43"/>
      <c r="GO99" s="43"/>
      <c r="GP99" s="43"/>
      <c r="GQ99" s="43"/>
      <c r="GR99" s="43"/>
      <c r="GS99" s="43"/>
      <c r="GT99" s="43"/>
      <c r="GU99" s="43"/>
      <c r="GV99" s="43"/>
      <c r="GW99" s="43"/>
      <c r="GX99" s="45"/>
      <c r="GY99" s="45"/>
      <c r="GZ99" s="43"/>
      <c r="HA99" s="43"/>
      <c r="HB99" s="43"/>
      <c r="HC99" s="43"/>
      <c r="HD99" s="39">
        <f t="shared" si="76"/>
        <v>0</v>
      </c>
      <c r="HE99" s="39">
        <f t="shared" si="77"/>
        <v>0</v>
      </c>
      <c r="HF99" s="39"/>
      <c r="HG99" s="39"/>
      <c r="HH99" s="39"/>
      <c r="HI99" s="43"/>
      <c r="HJ99" s="43"/>
      <c r="HK99" s="43"/>
      <c r="HL99" s="43"/>
      <c r="HM99" s="43"/>
      <c r="HN99" s="136"/>
      <c r="HO99" s="136"/>
      <c r="HP99" s="39">
        <f t="shared" si="78"/>
        <v>0</v>
      </c>
      <c r="HQ99" s="39">
        <f t="shared" si="79"/>
        <v>0</v>
      </c>
      <c r="HR99" s="39"/>
      <c r="HS99" s="39"/>
      <c r="HT99" s="39"/>
      <c r="HU99" s="43"/>
      <c r="HV99" s="39"/>
      <c r="HW99" s="39"/>
      <c r="HX99" s="39">
        <f t="shared" si="80"/>
        <v>0</v>
      </c>
      <c r="HY99" s="39">
        <f t="shared" si="81"/>
        <v>0</v>
      </c>
    </row>
    <row r="100" spans="1:233" ht="12.75" customHeight="1">
      <c r="A100" s="13" t="s">
        <v>130</v>
      </c>
      <c r="B100" s="39">
        <f>SUM(B101:B103)</f>
        <v>70781</v>
      </c>
      <c r="C100" s="39">
        <f aca="true" t="shared" si="90" ref="C100:BN100">SUM(C101:C103)</f>
        <v>70781</v>
      </c>
      <c r="D100" s="39">
        <f t="shared" si="90"/>
        <v>10114</v>
      </c>
      <c r="E100" s="39">
        <f t="shared" si="90"/>
        <v>10114</v>
      </c>
      <c r="F100" s="39">
        <f t="shared" si="90"/>
        <v>11744</v>
      </c>
      <c r="G100" s="39">
        <f t="shared" si="90"/>
        <v>11744</v>
      </c>
      <c r="H100" s="39">
        <f t="shared" si="90"/>
        <v>0</v>
      </c>
      <c r="I100" s="39">
        <f t="shared" si="90"/>
        <v>0</v>
      </c>
      <c r="J100" s="39">
        <f t="shared" si="90"/>
        <v>1583.3</v>
      </c>
      <c r="K100" s="39">
        <f t="shared" si="90"/>
        <v>1583.3</v>
      </c>
      <c r="L100" s="39">
        <f t="shared" si="90"/>
        <v>0</v>
      </c>
      <c r="M100" s="39">
        <f t="shared" si="90"/>
        <v>0</v>
      </c>
      <c r="N100" s="39">
        <f t="shared" si="90"/>
        <v>0</v>
      </c>
      <c r="O100" s="39">
        <f t="shared" si="90"/>
        <v>0</v>
      </c>
      <c r="P100" s="39">
        <f t="shared" si="90"/>
        <v>0</v>
      </c>
      <c r="Q100" s="39">
        <f t="shared" si="90"/>
        <v>0</v>
      </c>
      <c r="R100" s="39">
        <f t="shared" si="90"/>
        <v>610</v>
      </c>
      <c r="S100" s="39">
        <f t="shared" si="90"/>
        <v>607.94066</v>
      </c>
      <c r="T100" s="39">
        <f t="shared" si="90"/>
        <v>14439</v>
      </c>
      <c r="U100" s="39">
        <f t="shared" si="90"/>
        <v>14439</v>
      </c>
      <c r="V100" s="39">
        <f t="shared" si="90"/>
        <v>101.85</v>
      </c>
      <c r="W100" s="39">
        <f t="shared" si="90"/>
        <v>101.85</v>
      </c>
      <c r="X100" s="39">
        <f t="shared" si="90"/>
        <v>0</v>
      </c>
      <c r="Y100" s="39">
        <f t="shared" si="90"/>
        <v>0</v>
      </c>
      <c r="Z100" s="39">
        <f t="shared" si="90"/>
        <v>0</v>
      </c>
      <c r="AA100" s="39">
        <f t="shared" si="90"/>
        <v>0</v>
      </c>
      <c r="AB100" s="39">
        <f t="shared" si="90"/>
        <v>0</v>
      </c>
      <c r="AC100" s="39">
        <f t="shared" si="90"/>
        <v>0</v>
      </c>
      <c r="AD100" s="39">
        <f t="shared" si="90"/>
        <v>0</v>
      </c>
      <c r="AE100" s="39">
        <f t="shared" si="90"/>
        <v>0</v>
      </c>
      <c r="AF100" s="39">
        <f t="shared" si="90"/>
        <v>437</v>
      </c>
      <c r="AG100" s="39">
        <f t="shared" si="90"/>
        <v>437</v>
      </c>
      <c r="AH100" s="39">
        <f t="shared" si="90"/>
        <v>109810.15</v>
      </c>
      <c r="AI100" s="39">
        <f t="shared" si="90"/>
        <v>109808.09066</v>
      </c>
      <c r="AJ100" s="39">
        <f t="shared" si="90"/>
        <v>339</v>
      </c>
      <c r="AK100" s="39">
        <f t="shared" si="90"/>
        <v>339</v>
      </c>
      <c r="AL100" s="39">
        <f t="shared" si="90"/>
        <v>0</v>
      </c>
      <c r="AM100" s="39">
        <f t="shared" si="90"/>
        <v>0</v>
      </c>
      <c r="AN100" s="39">
        <f t="shared" si="90"/>
        <v>0</v>
      </c>
      <c r="AO100" s="39">
        <f t="shared" si="90"/>
        <v>0</v>
      </c>
      <c r="AP100" s="39">
        <f t="shared" si="90"/>
        <v>0</v>
      </c>
      <c r="AQ100" s="39">
        <f t="shared" si="90"/>
        <v>0</v>
      </c>
      <c r="AR100" s="39">
        <f t="shared" si="90"/>
        <v>0</v>
      </c>
      <c r="AS100" s="39">
        <f t="shared" si="90"/>
        <v>0</v>
      </c>
      <c r="AT100" s="39">
        <f t="shared" si="90"/>
        <v>20</v>
      </c>
      <c r="AU100" s="39">
        <f t="shared" si="90"/>
        <v>20</v>
      </c>
      <c r="AV100" s="39">
        <f t="shared" si="90"/>
        <v>0</v>
      </c>
      <c r="AW100" s="39">
        <f t="shared" si="90"/>
        <v>0</v>
      </c>
      <c r="AX100" s="39">
        <f t="shared" si="90"/>
        <v>0</v>
      </c>
      <c r="AY100" s="39">
        <f t="shared" si="90"/>
        <v>0</v>
      </c>
      <c r="AZ100" s="39">
        <f t="shared" si="90"/>
        <v>359</v>
      </c>
      <c r="BA100" s="39">
        <f t="shared" si="90"/>
        <v>359</v>
      </c>
      <c r="BB100" s="39">
        <f t="shared" si="90"/>
        <v>0</v>
      </c>
      <c r="BC100" s="39">
        <f t="shared" si="90"/>
        <v>0</v>
      </c>
      <c r="BD100" s="39">
        <f t="shared" si="90"/>
        <v>334.46000000000004</v>
      </c>
      <c r="BE100" s="39">
        <f t="shared" si="90"/>
        <v>334.46000000000004</v>
      </c>
      <c r="BF100" s="39">
        <f t="shared" si="90"/>
        <v>0</v>
      </c>
      <c r="BG100" s="39">
        <f t="shared" si="90"/>
        <v>0</v>
      </c>
      <c r="BH100" s="39">
        <f t="shared" si="90"/>
        <v>0</v>
      </c>
      <c r="BI100" s="39">
        <f t="shared" si="90"/>
        <v>0</v>
      </c>
      <c r="BJ100" s="39">
        <f t="shared" si="90"/>
        <v>12028</v>
      </c>
      <c r="BK100" s="39">
        <f t="shared" si="90"/>
        <v>12028</v>
      </c>
      <c r="BL100" s="39">
        <f t="shared" si="90"/>
        <v>19040.5</v>
      </c>
      <c r="BM100" s="39">
        <f t="shared" si="90"/>
        <v>13.5</v>
      </c>
      <c r="BN100" s="39">
        <f t="shared" si="90"/>
        <v>0</v>
      </c>
      <c r="BO100" s="39">
        <f aca="true" t="shared" si="91" ref="BO100:DZ100">SUM(BO101:BO103)</f>
        <v>0</v>
      </c>
      <c r="BP100" s="39">
        <f t="shared" si="91"/>
        <v>0</v>
      </c>
      <c r="BQ100" s="39">
        <f t="shared" si="91"/>
        <v>0</v>
      </c>
      <c r="BR100" s="39">
        <f t="shared" si="91"/>
        <v>0</v>
      </c>
      <c r="BS100" s="39">
        <f t="shared" si="91"/>
        <v>0</v>
      </c>
      <c r="BT100" s="39">
        <f t="shared" si="91"/>
        <v>0</v>
      </c>
      <c r="BU100" s="39">
        <f t="shared" si="91"/>
        <v>0</v>
      </c>
      <c r="BV100" s="39">
        <f t="shared" si="91"/>
        <v>0</v>
      </c>
      <c r="BW100" s="39">
        <f t="shared" si="91"/>
        <v>0</v>
      </c>
      <c r="BX100" s="39">
        <f t="shared" si="91"/>
        <v>0</v>
      </c>
      <c r="BY100" s="39">
        <f t="shared" si="91"/>
        <v>0</v>
      </c>
      <c r="BZ100" s="39">
        <f t="shared" si="91"/>
        <v>0</v>
      </c>
      <c r="CA100" s="39">
        <f t="shared" si="91"/>
        <v>0</v>
      </c>
      <c r="CB100" s="39">
        <f t="shared" si="91"/>
        <v>3452.22</v>
      </c>
      <c r="CC100" s="39">
        <f t="shared" si="91"/>
        <v>3452.22</v>
      </c>
      <c r="CD100" s="39">
        <f t="shared" si="91"/>
        <v>0</v>
      </c>
      <c r="CE100" s="39">
        <f t="shared" si="91"/>
        <v>0</v>
      </c>
      <c r="CF100" s="39">
        <f t="shared" si="91"/>
        <v>34855.18000000001</v>
      </c>
      <c r="CG100" s="39">
        <f t="shared" si="91"/>
        <v>15828.179999999998</v>
      </c>
      <c r="CH100" s="39">
        <f t="shared" si="91"/>
        <v>0</v>
      </c>
      <c r="CI100" s="39">
        <f t="shared" si="91"/>
        <v>0</v>
      </c>
      <c r="CJ100" s="39">
        <f t="shared" si="91"/>
        <v>0</v>
      </c>
      <c r="CK100" s="39">
        <f t="shared" si="91"/>
        <v>0</v>
      </c>
      <c r="CL100" s="39">
        <f t="shared" si="91"/>
        <v>0</v>
      </c>
      <c r="CM100" s="39">
        <f t="shared" si="91"/>
        <v>0</v>
      </c>
      <c r="CN100" s="39">
        <f t="shared" si="91"/>
        <v>0</v>
      </c>
      <c r="CO100" s="39">
        <f t="shared" si="91"/>
        <v>0</v>
      </c>
      <c r="CP100" s="39">
        <f t="shared" si="91"/>
        <v>0</v>
      </c>
      <c r="CQ100" s="39">
        <f t="shared" si="91"/>
        <v>0</v>
      </c>
      <c r="CR100" s="39">
        <f t="shared" si="91"/>
        <v>0</v>
      </c>
      <c r="CS100" s="39">
        <f t="shared" si="91"/>
        <v>0</v>
      </c>
      <c r="CT100" s="39">
        <f t="shared" si="91"/>
        <v>0</v>
      </c>
      <c r="CU100" s="39">
        <f t="shared" si="91"/>
        <v>0</v>
      </c>
      <c r="CV100" s="39">
        <f t="shared" si="91"/>
        <v>0</v>
      </c>
      <c r="CW100" s="39">
        <f t="shared" si="91"/>
        <v>0</v>
      </c>
      <c r="CX100" s="39">
        <f t="shared" si="91"/>
        <v>0</v>
      </c>
      <c r="CY100" s="39">
        <f t="shared" si="91"/>
        <v>0</v>
      </c>
      <c r="CZ100" s="39">
        <f t="shared" si="91"/>
        <v>0</v>
      </c>
      <c r="DA100" s="39">
        <f t="shared" si="91"/>
        <v>0</v>
      </c>
      <c r="DB100" s="39">
        <f t="shared" si="91"/>
        <v>0</v>
      </c>
      <c r="DC100" s="39">
        <f t="shared" si="91"/>
        <v>0</v>
      </c>
      <c r="DD100" s="39">
        <f t="shared" si="91"/>
        <v>0</v>
      </c>
      <c r="DE100" s="39">
        <f t="shared" si="91"/>
        <v>0</v>
      </c>
      <c r="DF100" s="39">
        <f t="shared" si="91"/>
        <v>0</v>
      </c>
      <c r="DG100" s="39">
        <f t="shared" si="91"/>
        <v>0</v>
      </c>
      <c r="DH100" s="39">
        <f t="shared" si="91"/>
        <v>0</v>
      </c>
      <c r="DI100" s="39">
        <f t="shared" si="91"/>
        <v>0</v>
      </c>
      <c r="DJ100" s="39">
        <f t="shared" si="91"/>
        <v>0</v>
      </c>
      <c r="DK100" s="39">
        <f t="shared" si="91"/>
        <v>0</v>
      </c>
      <c r="DL100" s="39">
        <f t="shared" si="91"/>
        <v>0</v>
      </c>
      <c r="DM100" s="39">
        <f t="shared" si="91"/>
        <v>0</v>
      </c>
      <c r="DN100" s="39">
        <f t="shared" si="91"/>
        <v>0</v>
      </c>
      <c r="DO100" s="39">
        <f t="shared" si="91"/>
        <v>0</v>
      </c>
      <c r="DP100" s="39">
        <f t="shared" si="91"/>
        <v>0</v>
      </c>
      <c r="DQ100" s="39">
        <f t="shared" si="91"/>
        <v>0</v>
      </c>
      <c r="DR100" s="39">
        <f t="shared" si="91"/>
        <v>0</v>
      </c>
      <c r="DS100" s="39">
        <f t="shared" si="91"/>
        <v>0</v>
      </c>
      <c r="DT100" s="39">
        <f t="shared" si="91"/>
        <v>0</v>
      </c>
      <c r="DU100" s="39">
        <f t="shared" si="91"/>
        <v>0</v>
      </c>
      <c r="DV100" s="39">
        <f t="shared" si="91"/>
        <v>0</v>
      </c>
      <c r="DW100" s="39">
        <f t="shared" si="91"/>
        <v>0</v>
      </c>
      <c r="DX100" s="39">
        <f t="shared" si="91"/>
        <v>0</v>
      </c>
      <c r="DY100" s="39">
        <f t="shared" si="91"/>
        <v>0</v>
      </c>
      <c r="DZ100" s="39">
        <f t="shared" si="91"/>
        <v>0</v>
      </c>
      <c r="EA100" s="39">
        <f aca="true" t="shared" si="92" ref="EA100:GL100">SUM(EA101:EA103)</f>
        <v>0</v>
      </c>
      <c r="EB100" s="39">
        <f t="shared" si="92"/>
        <v>0</v>
      </c>
      <c r="EC100" s="39">
        <f t="shared" si="92"/>
        <v>0</v>
      </c>
      <c r="ED100" s="39">
        <f t="shared" si="92"/>
        <v>0</v>
      </c>
      <c r="EE100" s="39">
        <f t="shared" si="92"/>
        <v>0</v>
      </c>
      <c r="EF100" s="39">
        <f t="shared" si="92"/>
        <v>2126</v>
      </c>
      <c r="EG100" s="39">
        <f t="shared" si="92"/>
        <v>2126</v>
      </c>
      <c r="EH100" s="39">
        <f t="shared" si="92"/>
        <v>10298</v>
      </c>
      <c r="EI100" s="39">
        <f t="shared" si="92"/>
        <v>10298</v>
      </c>
      <c r="EJ100" s="39">
        <f t="shared" si="92"/>
        <v>612</v>
      </c>
      <c r="EK100" s="39">
        <f t="shared" si="92"/>
        <v>478.6</v>
      </c>
      <c r="EL100" s="39">
        <f t="shared" si="92"/>
        <v>0</v>
      </c>
      <c r="EM100" s="39">
        <f t="shared" si="92"/>
        <v>0</v>
      </c>
      <c r="EN100" s="39">
        <f t="shared" si="92"/>
        <v>0</v>
      </c>
      <c r="EO100" s="39">
        <f t="shared" si="92"/>
        <v>0</v>
      </c>
      <c r="EP100" s="39">
        <f t="shared" si="92"/>
        <v>0</v>
      </c>
      <c r="EQ100" s="39">
        <f t="shared" si="92"/>
        <v>0</v>
      </c>
      <c r="ER100" s="39">
        <f t="shared" si="92"/>
        <v>0</v>
      </c>
      <c r="ES100" s="39">
        <f t="shared" si="92"/>
        <v>0</v>
      </c>
      <c r="ET100" s="39">
        <f t="shared" si="92"/>
        <v>0</v>
      </c>
      <c r="EU100" s="39">
        <f t="shared" si="92"/>
        <v>0</v>
      </c>
      <c r="EV100" s="39">
        <f t="shared" si="92"/>
        <v>60.3</v>
      </c>
      <c r="EW100" s="39">
        <f t="shared" si="92"/>
        <v>60.3</v>
      </c>
      <c r="EX100" s="39">
        <f t="shared" si="92"/>
        <v>100</v>
      </c>
      <c r="EY100" s="39">
        <f t="shared" si="92"/>
        <v>100</v>
      </c>
      <c r="EZ100" s="39">
        <f t="shared" si="92"/>
        <v>0</v>
      </c>
      <c r="FA100" s="39">
        <f t="shared" si="92"/>
        <v>0</v>
      </c>
      <c r="FB100" s="39">
        <f t="shared" si="92"/>
        <v>13196.3</v>
      </c>
      <c r="FC100" s="39">
        <f t="shared" si="92"/>
        <v>13062.9</v>
      </c>
      <c r="FD100" s="39">
        <f t="shared" si="92"/>
        <v>224.2</v>
      </c>
      <c r="FE100" s="39">
        <f t="shared" si="92"/>
        <v>224.2</v>
      </c>
      <c r="FF100" s="39">
        <f t="shared" si="92"/>
        <v>54.39</v>
      </c>
      <c r="FG100" s="39">
        <f t="shared" si="92"/>
        <v>54.39</v>
      </c>
      <c r="FH100" s="39">
        <f t="shared" si="92"/>
        <v>278.59</v>
      </c>
      <c r="FI100" s="39">
        <f t="shared" si="92"/>
        <v>278.59</v>
      </c>
      <c r="FJ100" s="39">
        <f t="shared" si="92"/>
        <v>0</v>
      </c>
      <c r="FK100" s="39">
        <f t="shared" si="92"/>
        <v>0</v>
      </c>
      <c r="FL100" s="39">
        <f t="shared" si="92"/>
        <v>0</v>
      </c>
      <c r="FM100" s="39">
        <f t="shared" si="92"/>
        <v>0</v>
      </c>
      <c r="FN100" s="39">
        <f t="shared" si="92"/>
        <v>0</v>
      </c>
      <c r="FO100" s="39">
        <f t="shared" si="92"/>
        <v>0</v>
      </c>
      <c r="FP100" s="39">
        <f t="shared" si="92"/>
        <v>0</v>
      </c>
      <c r="FQ100" s="39">
        <f t="shared" si="92"/>
        <v>0</v>
      </c>
      <c r="FR100" s="39">
        <f t="shared" si="92"/>
        <v>0</v>
      </c>
      <c r="FS100" s="39">
        <f t="shared" si="92"/>
        <v>0</v>
      </c>
      <c r="FT100" s="39">
        <f t="shared" si="92"/>
        <v>716</v>
      </c>
      <c r="FU100" s="39">
        <f t="shared" si="92"/>
        <v>716</v>
      </c>
      <c r="FV100" s="39">
        <f t="shared" si="92"/>
        <v>0</v>
      </c>
      <c r="FW100" s="39">
        <f t="shared" si="92"/>
        <v>0</v>
      </c>
      <c r="FX100" s="39">
        <f t="shared" si="92"/>
        <v>4800</v>
      </c>
      <c r="FY100" s="39">
        <f t="shared" si="92"/>
        <v>4800</v>
      </c>
      <c r="FZ100" s="39">
        <f t="shared" si="92"/>
        <v>1202</v>
      </c>
      <c r="GA100" s="39">
        <f t="shared" si="92"/>
        <v>1202</v>
      </c>
      <c r="GB100" s="39">
        <f t="shared" si="92"/>
        <v>2830.9</v>
      </c>
      <c r="GC100" s="39">
        <f t="shared" si="92"/>
        <v>2830.9</v>
      </c>
      <c r="GD100" s="39">
        <f t="shared" si="92"/>
        <v>3305.9</v>
      </c>
      <c r="GE100" s="39">
        <f t="shared" si="92"/>
        <v>3305.9</v>
      </c>
      <c r="GF100" s="39">
        <f t="shared" si="92"/>
        <v>0</v>
      </c>
      <c r="GG100" s="39">
        <f t="shared" si="92"/>
        <v>0</v>
      </c>
      <c r="GH100" s="39">
        <f t="shared" si="92"/>
        <v>0</v>
      </c>
      <c r="GI100" s="39">
        <f t="shared" si="92"/>
        <v>0</v>
      </c>
      <c r="GJ100" s="39">
        <f t="shared" si="92"/>
        <v>7931.2</v>
      </c>
      <c r="GK100" s="39">
        <f t="shared" si="92"/>
        <v>7931.2</v>
      </c>
      <c r="GL100" s="39">
        <f t="shared" si="92"/>
        <v>72277.8</v>
      </c>
      <c r="GM100" s="39">
        <f aca="true" t="shared" si="93" ref="GM100:HY100">SUM(GM101:GM103)</f>
        <v>72277.8</v>
      </c>
      <c r="GN100" s="39">
        <f t="shared" si="93"/>
        <v>0</v>
      </c>
      <c r="GO100" s="39">
        <f t="shared" si="93"/>
        <v>0</v>
      </c>
      <c r="GP100" s="39">
        <f t="shared" si="93"/>
        <v>1508</v>
      </c>
      <c r="GQ100" s="39">
        <f t="shared" si="93"/>
        <v>1508</v>
      </c>
      <c r="GR100" s="39">
        <f t="shared" si="93"/>
        <v>734</v>
      </c>
      <c r="GS100" s="39">
        <f t="shared" si="93"/>
        <v>701.6</v>
      </c>
      <c r="GT100" s="39">
        <f t="shared" si="93"/>
        <v>162</v>
      </c>
      <c r="GU100" s="39">
        <f t="shared" si="93"/>
        <v>162</v>
      </c>
      <c r="GV100" s="39">
        <f t="shared" si="93"/>
        <v>11080</v>
      </c>
      <c r="GW100" s="39">
        <f t="shared" si="93"/>
        <v>11080</v>
      </c>
      <c r="GX100" s="39">
        <f t="shared" si="93"/>
        <v>2621.2</v>
      </c>
      <c r="GY100" s="39">
        <f t="shared" si="93"/>
        <v>2621.2</v>
      </c>
      <c r="GZ100" s="39">
        <f t="shared" si="93"/>
        <v>50</v>
      </c>
      <c r="HA100" s="39">
        <f t="shared" si="93"/>
        <v>50</v>
      </c>
      <c r="HB100" s="39">
        <f t="shared" si="93"/>
        <v>0</v>
      </c>
      <c r="HC100" s="39">
        <f t="shared" si="93"/>
        <v>0</v>
      </c>
      <c r="HD100" s="39">
        <f t="shared" si="93"/>
        <v>109219</v>
      </c>
      <c r="HE100" s="39">
        <f t="shared" si="93"/>
        <v>109186.59999999999</v>
      </c>
      <c r="HF100" s="39">
        <f t="shared" si="93"/>
        <v>0</v>
      </c>
      <c r="HG100" s="39">
        <f t="shared" si="93"/>
        <v>0</v>
      </c>
      <c r="HH100" s="39">
        <f t="shared" si="93"/>
        <v>0</v>
      </c>
      <c r="HI100" s="39">
        <f t="shared" si="93"/>
        <v>0</v>
      </c>
      <c r="HJ100" s="39">
        <f t="shared" si="93"/>
        <v>0</v>
      </c>
      <c r="HK100" s="39">
        <f t="shared" si="93"/>
        <v>0</v>
      </c>
      <c r="HL100" s="39">
        <f t="shared" si="93"/>
        <v>0</v>
      </c>
      <c r="HM100" s="39">
        <f t="shared" si="93"/>
        <v>0</v>
      </c>
      <c r="HN100" s="39">
        <f t="shared" si="93"/>
        <v>0</v>
      </c>
      <c r="HO100" s="39">
        <f t="shared" si="93"/>
        <v>0</v>
      </c>
      <c r="HP100" s="39">
        <f t="shared" si="93"/>
        <v>0</v>
      </c>
      <c r="HQ100" s="39">
        <f t="shared" si="93"/>
        <v>0</v>
      </c>
      <c r="HR100" s="39">
        <f t="shared" si="93"/>
        <v>0</v>
      </c>
      <c r="HS100" s="39">
        <f t="shared" si="93"/>
        <v>0</v>
      </c>
      <c r="HT100" s="39">
        <f t="shared" si="93"/>
        <v>240</v>
      </c>
      <c r="HU100" s="39">
        <f t="shared" si="93"/>
        <v>240</v>
      </c>
      <c r="HV100" s="39">
        <f t="shared" si="93"/>
        <v>0</v>
      </c>
      <c r="HW100" s="39">
        <f t="shared" si="93"/>
        <v>0</v>
      </c>
      <c r="HX100" s="39">
        <f t="shared" si="93"/>
        <v>240</v>
      </c>
      <c r="HY100" s="39">
        <f t="shared" si="93"/>
        <v>240</v>
      </c>
    </row>
    <row r="101" spans="1:233" ht="12.75">
      <c r="A101" s="12" t="s">
        <v>156</v>
      </c>
      <c r="B101" s="39">
        <f>7078+4719+5898+3539+5898+5898+5899+786+5112+5898+5899+4719+4719+4719</f>
        <v>70781</v>
      </c>
      <c r="C101" s="39">
        <f>7078+4719+5898+3539+5898+5898+5899+786+5112+5898+5899+4719+4719+4719</f>
        <v>70781</v>
      </c>
      <c r="D101" s="39"/>
      <c r="E101" s="39"/>
      <c r="F101" s="39">
        <f>1174+783+979+587+979+632+632+2183+632+632+182+783+783+783</f>
        <v>11744</v>
      </c>
      <c r="G101" s="39">
        <f>1174+783+979+587+979+632+632+2183+632+632+182+783+783+783</f>
        <v>11744</v>
      </c>
      <c r="H101" s="34"/>
      <c r="I101" s="34"/>
      <c r="J101" s="34"/>
      <c r="K101" s="34"/>
      <c r="L101" s="34"/>
      <c r="M101" s="34"/>
      <c r="N101" s="34"/>
      <c r="O101" s="34"/>
      <c r="P101" s="51"/>
      <c r="Q101" s="51"/>
      <c r="R101" s="39"/>
      <c r="S101" s="39"/>
      <c r="T101" s="39">
        <v>14439</v>
      </c>
      <c r="U101" s="39">
        <f>500+13939</f>
        <v>14439</v>
      </c>
      <c r="V101" s="39"/>
      <c r="W101" s="39"/>
      <c r="X101" s="34"/>
      <c r="Y101" s="34"/>
      <c r="Z101" s="51"/>
      <c r="AA101" s="51"/>
      <c r="AB101" s="34"/>
      <c r="AC101" s="34"/>
      <c r="AD101" s="34"/>
      <c r="AE101" s="34"/>
      <c r="AF101" s="39"/>
      <c r="AG101" s="48"/>
      <c r="AH101" s="126">
        <f t="shared" si="65"/>
        <v>96964</v>
      </c>
      <c r="AI101" s="126">
        <f t="shared" si="66"/>
        <v>96964</v>
      </c>
      <c r="AJ101" s="43">
        <v>339</v>
      </c>
      <c r="AK101" s="43">
        <v>339</v>
      </c>
      <c r="AL101" s="134"/>
      <c r="AM101" s="41"/>
      <c r="AN101" s="41"/>
      <c r="AO101" s="41"/>
      <c r="AP101" s="41"/>
      <c r="AQ101" s="41"/>
      <c r="AR101" s="39"/>
      <c r="AS101" s="39"/>
      <c r="AT101" s="43">
        <v>20</v>
      </c>
      <c r="AU101" s="43">
        <v>20</v>
      </c>
      <c r="AV101" s="43"/>
      <c r="AW101" s="43"/>
      <c r="AX101" s="43"/>
      <c r="AY101" s="43"/>
      <c r="AZ101" s="39">
        <f t="shared" si="67"/>
        <v>359</v>
      </c>
      <c r="BA101" s="39">
        <f t="shared" si="61"/>
        <v>359</v>
      </c>
      <c r="BB101" s="39">
        <v>0</v>
      </c>
      <c r="BC101" s="39">
        <v>0</v>
      </c>
      <c r="BD101" s="39"/>
      <c r="BE101" s="43"/>
      <c r="BF101" s="43"/>
      <c r="BG101" s="43"/>
      <c r="BH101" s="43"/>
      <c r="BI101" s="43"/>
      <c r="BJ101" s="43">
        <v>12028</v>
      </c>
      <c r="BK101" s="43">
        <v>12028</v>
      </c>
      <c r="BL101" s="43">
        <v>19040.5</v>
      </c>
      <c r="BM101" s="43">
        <v>13.5</v>
      </c>
      <c r="BN101" s="45"/>
      <c r="BO101" s="45"/>
      <c r="BP101" s="45"/>
      <c r="BQ101" s="45"/>
      <c r="BR101" s="43"/>
      <c r="BS101" s="43"/>
      <c r="BT101" s="43"/>
      <c r="BU101" s="43"/>
      <c r="BV101" s="45"/>
      <c r="BW101" s="45"/>
      <c r="BX101" s="43"/>
      <c r="BY101" s="45"/>
      <c r="BZ101" s="43"/>
      <c r="CA101" s="45"/>
      <c r="CB101" s="39">
        <v>3452.22</v>
      </c>
      <c r="CC101" s="39">
        <v>3452.22</v>
      </c>
      <c r="CD101" s="43"/>
      <c r="CE101" s="43"/>
      <c r="CF101" s="39">
        <f t="shared" si="68"/>
        <v>34520.72</v>
      </c>
      <c r="CG101" s="39">
        <f t="shared" si="69"/>
        <v>15493.72</v>
      </c>
      <c r="CH101" s="39"/>
      <c r="CI101" s="39"/>
      <c r="CJ101" s="39"/>
      <c r="CK101" s="45"/>
      <c r="CL101" s="45"/>
      <c r="CM101" s="43"/>
      <c r="CN101" s="43"/>
      <c r="CO101" s="43"/>
      <c r="CP101" s="43"/>
      <c r="CQ101" s="39"/>
      <c r="CR101" s="43"/>
      <c r="CS101" s="45"/>
      <c r="CT101" s="45"/>
      <c r="CU101" s="45"/>
      <c r="CV101" s="45"/>
      <c r="CW101" s="43"/>
      <c r="CX101" s="43"/>
      <c r="CY101" s="43"/>
      <c r="CZ101" s="39"/>
      <c r="DA101" s="45"/>
      <c r="DB101" s="43"/>
      <c r="DC101" s="43"/>
      <c r="DD101" s="43"/>
      <c r="DE101" s="43"/>
      <c r="DF101" s="39">
        <f t="shared" si="70"/>
        <v>0</v>
      </c>
      <c r="DG101" s="39">
        <f t="shared" si="71"/>
        <v>0</v>
      </c>
      <c r="DH101" s="39"/>
      <c r="DI101" s="39"/>
      <c r="DJ101" s="39">
        <v>0</v>
      </c>
      <c r="DK101" s="39">
        <f t="shared" si="62"/>
        <v>0</v>
      </c>
      <c r="DL101" s="39"/>
      <c r="DM101" s="39"/>
      <c r="DN101" s="43"/>
      <c r="DO101" s="43"/>
      <c r="DP101" s="39">
        <f t="shared" si="72"/>
        <v>0</v>
      </c>
      <c r="DQ101" s="39">
        <f t="shared" si="63"/>
        <v>0</v>
      </c>
      <c r="DR101" s="39"/>
      <c r="DS101" s="39"/>
      <c r="DT101" s="43"/>
      <c r="DU101" s="43"/>
      <c r="DV101" s="43"/>
      <c r="DW101" s="43"/>
      <c r="DX101" s="43"/>
      <c r="DY101" s="43"/>
      <c r="DZ101" s="39"/>
      <c r="EA101" s="39"/>
      <c r="EB101" s="43"/>
      <c r="EC101" s="43"/>
      <c r="ED101" s="43"/>
      <c r="EE101" s="43"/>
      <c r="EF101" s="39">
        <v>463</v>
      </c>
      <c r="EG101" s="43">
        <v>463</v>
      </c>
      <c r="EH101" s="43">
        <v>4825</v>
      </c>
      <c r="EI101" s="39">
        <v>4825</v>
      </c>
      <c r="EJ101" s="39">
        <v>225</v>
      </c>
      <c r="EK101" s="43">
        <v>225</v>
      </c>
      <c r="EL101" s="43"/>
      <c r="EM101" s="43"/>
      <c r="EN101" s="45"/>
      <c r="EO101" s="45"/>
      <c r="EP101" s="43"/>
      <c r="EQ101" s="43"/>
      <c r="ER101" s="43"/>
      <c r="ES101" s="43"/>
      <c r="ET101" s="135"/>
      <c r="EU101" s="135"/>
      <c r="EV101" s="135">
        <v>60.3</v>
      </c>
      <c r="EW101" s="135">
        <v>60.3</v>
      </c>
      <c r="EX101" s="43">
        <v>100</v>
      </c>
      <c r="EY101" s="43">
        <v>100</v>
      </c>
      <c r="EZ101" s="43"/>
      <c r="FA101" s="43"/>
      <c r="FB101" s="37">
        <f t="shared" si="73"/>
        <v>5673.3</v>
      </c>
      <c r="FC101" s="37">
        <f t="shared" si="74"/>
        <v>5673.3</v>
      </c>
      <c r="FD101" s="39">
        <v>224.2</v>
      </c>
      <c r="FE101" s="39">
        <v>224.2</v>
      </c>
      <c r="FF101" s="43">
        <v>54.39</v>
      </c>
      <c r="FG101" s="43">
        <v>54.39</v>
      </c>
      <c r="FH101" s="132">
        <f t="shared" si="75"/>
        <v>278.59</v>
      </c>
      <c r="FI101" s="132">
        <f t="shared" si="64"/>
        <v>278.59</v>
      </c>
      <c r="FJ101" s="39"/>
      <c r="FK101" s="39"/>
      <c r="FL101" s="43"/>
      <c r="FM101" s="43"/>
      <c r="FN101" s="43"/>
      <c r="FO101" s="43"/>
      <c r="FP101" s="43"/>
      <c r="FQ101" s="43"/>
      <c r="FR101" s="39"/>
      <c r="FS101" s="135"/>
      <c r="FT101" s="43">
        <v>716</v>
      </c>
      <c r="FU101" s="43">
        <v>716</v>
      </c>
      <c r="FV101" s="43"/>
      <c r="FW101" s="43"/>
      <c r="FX101" s="43">
        <v>4800</v>
      </c>
      <c r="FY101" s="43">
        <v>4800</v>
      </c>
      <c r="FZ101" s="43">
        <v>1202</v>
      </c>
      <c r="GA101" s="43">
        <v>1202</v>
      </c>
      <c r="GB101" s="43">
        <v>2830.9</v>
      </c>
      <c r="GC101" s="43">
        <v>2830.9</v>
      </c>
      <c r="GD101" s="135">
        <v>3305.9</v>
      </c>
      <c r="GE101" s="135">
        <v>3305.9</v>
      </c>
      <c r="GF101" s="43"/>
      <c r="GG101" s="43"/>
      <c r="GH101" s="43"/>
      <c r="GI101" s="43"/>
      <c r="GJ101" s="43">
        <v>7931.2</v>
      </c>
      <c r="GK101" s="43">
        <v>7931.2</v>
      </c>
      <c r="GL101" s="43">
        <v>72277.8</v>
      </c>
      <c r="GM101" s="43">
        <v>72277.8</v>
      </c>
      <c r="GN101" s="43"/>
      <c r="GO101" s="43"/>
      <c r="GP101" s="43">
        <v>1508</v>
      </c>
      <c r="GQ101" s="43">
        <v>1508</v>
      </c>
      <c r="GR101" s="43">
        <v>734</v>
      </c>
      <c r="GS101" s="43">
        <v>701.6</v>
      </c>
      <c r="GT101" s="43">
        <v>162</v>
      </c>
      <c r="GU101" s="43">
        <v>162</v>
      </c>
      <c r="GV101" s="43">
        <v>11080</v>
      </c>
      <c r="GW101" s="43">
        <v>11080</v>
      </c>
      <c r="GX101" s="45">
        <v>2621.2</v>
      </c>
      <c r="GY101" s="45">
        <v>2621.2</v>
      </c>
      <c r="GZ101" s="43">
        <v>50</v>
      </c>
      <c r="HA101" s="43">
        <v>50</v>
      </c>
      <c r="HB101" s="43"/>
      <c r="HC101" s="43"/>
      <c r="HD101" s="39">
        <f t="shared" si="76"/>
        <v>109219</v>
      </c>
      <c r="HE101" s="39">
        <f t="shared" si="77"/>
        <v>109186.59999999999</v>
      </c>
      <c r="HF101" s="39"/>
      <c r="HG101" s="39"/>
      <c r="HH101" s="39"/>
      <c r="HI101" s="43"/>
      <c r="HJ101" s="43"/>
      <c r="HK101" s="43"/>
      <c r="HL101" s="43"/>
      <c r="HM101" s="43"/>
      <c r="HN101" s="136"/>
      <c r="HO101" s="136"/>
      <c r="HP101" s="39">
        <f t="shared" si="78"/>
        <v>0</v>
      </c>
      <c r="HQ101" s="39">
        <f t="shared" si="79"/>
        <v>0</v>
      </c>
      <c r="HR101" s="39"/>
      <c r="HS101" s="39"/>
      <c r="HT101" s="39">
        <v>240</v>
      </c>
      <c r="HU101" s="43">
        <v>240</v>
      </c>
      <c r="HV101" s="39"/>
      <c r="HW101" s="39"/>
      <c r="HX101" s="39">
        <f t="shared" si="80"/>
        <v>240</v>
      </c>
      <c r="HY101" s="39">
        <f t="shared" si="81"/>
        <v>240</v>
      </c>
    </row>
    <row r="102" spans="1:233" ht="12.75" customHeight="1">
      <c r="A102" s="12" t="s">
        <v>264</v>
      </c>
      <c r="B102" s="39"/>
      <c r="C102" s="39"/>
      <c r="D102" s="39">
        <f>565+565+565+471+471+471+471+471+471+376.7+376.7+376.6</f>
        <v>5651</v>
      </c>
      <c r="E102" s="39">
        <f>565+565+565+471+471+471+471+471+471+376.7+376.7+376.6</f>
        <v>5651</v>
      </c>
      <c r="F102" s="39"/>
      <c r="G102" s="39"/>
      <c r="H102" s="34"/>
      <c r="I102" s="34"/>
      <c r="J102" s="34"/>
      <c r="K102" s="34"/>
      <c r="L102" s="34"/>
      <c r="M102" s="34"/>
      <c r="N102" s="34"/>
      <c r="O102" s="34"/>
      <c r="P102" s="51"/>
      <c r="Q102" s="51"/>
      <c r="R102" s="39"/>
      <c r="S102" s="39"/>
      <c r="T102" s="39">
        <v>0</v>
      </c>
      <c r="U102" s="39"/>
      <c r="V102" s="39"/>
      <c r="W102" s="39"/>
      <c r="X102" s="34"/>
      <c r="Y102" s="34"/>
      <c r="Z102" s="51"/>
      <c r="AA102" s="51"/>
      <c r="AB102" s="34"/>
      <c r="AC102" s="34"/>
      <c r="AD102" s="34"/>
      <c r="AE102" s="34"/>
      <c r="AF102" s="39">
        <v>147</v>
      </c>
      <c r="AG102" s="39">
        <f>12.3+12.3+12.3+12.3+12.3+15.7+29.9+8.7+10.1+10+11.1</f>
        <v>146.99999999999997</v>
      </c>
      <c r="AH102" s="126">
        <f t="shared" si="65"/>
        <v>5798</v>
      </c>
      <c r="AI102" s="126">
        <f t="shared" si="66"/>
        <v>5798</v>
      </c>
      <c r="AJ102" s="43"/>
      <c r="AK102" s="43"/>
      <c r="AL102" s="134"/>
      <c r="AM102" s="41"/>
      <c r="AN102" s="41"/>
      <c r="AO102" s="41"/>
      <c r="AP102" s="41"/>
      <c r="AQ102" s="41"/>
      <c r="AR102" s="39"/>
      <c r="AS102" s="39"/>
      <c r="AT102" s="43"/>
      <c r="AU102" s="43"/>
      <c r="AV102" s="43"/>
      <c r="AW102" s="43"/>
      <c r="AX102" s="43"/>
      <c r="AY102" s="43"/>
      <c r="AZ102" s="39">
        <f t="shared" si="67"/>
        <v>0</v>
      </c>
      <c r="BA102" s="39">
        <f t="shared" si="61"/>
        <v>0</v>
      </c>
      <c r="BB102" s="39">
        <v>0</v>
      </c>
      <c r="BC102" s="39">
        <v>0</v>
      </c>
      <c r="BD102" s="39">
        <v>67.66</v>
      </c>
      <c r="BE102" s="43">
        <v>67.66</v>
      </c>
      <c r="BF102" s="43"/>
      <c r="BG102" s="43"/>
      <c r="BH102" s="43"/>
      <c r="BI102" s="43"/>
      <c r="BJ102" s="43"/>
      <c r="BK102" s="43"/>
      <c r="BL102" s="43"/>
      <c r="BM102" s="43"/>
      <c r="BN102" s="45"/>
      <c r="BO102" s="45"/>
      <c r="BP102" s="45"/>
      <c r="BQ102" s="45"/>
      <c r="BR102" s="43"/>
      <c r="BS102" s="43"/>
      <c r="BT102" s="43"/>
      <c r="BU102" s="43"/>
      <c r="BV102" s="45"/>
      <c r="BW102" s="45"/>
      <c r="BX102" s="43"/>
      <c r="BY102" s="45"/>
      <c r="BZ102" s="43"/>
      <c r="CA102" s="45"/>
      <c r="CB102" s="45"/>
      <c r="CC102" s="45"/>
      <c r="CD102" s="45"/>
      <c r="CE102" s="45"/>
      <c r="CF102" s="39">
        <f t="shared" si="68"/>
        <v>67.66</v>
      </c>
      <c r="CG102" s="39">
        <f t="shared" si="69"/>
        <v>67.66</v>
      </c>
      <c r="CH102" s="39"/>
      <c r="CI102" s="39"/>
      <c r="CJ102" s="39"/>
      <c r="CK102" s="45"/>
      <c r="CL102" s="45"/>
      <c r="CM102" s="43"/>
      <c r="CN102" s="43"/>
      <c r="CO102" s="43"/>
      <c r="CP102" s="43"/>
      <c r="CQ102" s="39"/>
      <c r="CR102" s="43"/>
      <c r="CS102" s="45"/>
      <c r="CT102" s="45"/>
      <c r="CU102" s="45"/>
      <c r="CV102" s="45"/>
      <c r="CW102" s="43"/>
      <c r="CX102" s="43"/>
      <c r="CY102" s="43"/>
      <c r="CZ102" s="39"/>
      <c r="DA102" s="45"/>
      <c r="DB102" s="43"/>
      <c r="DC102" s="43"/>
      <c r="DD102" s="43"/>
      <c r="DE102" s="43"/>
      <c r="DF102" s="39">
        <f t="shared" si="70"/>
        <v>0</v>
      </c>
      <c r="DG102" s="39">
        <f t="shared" si="71"/>
        <v>0</v>
      </c>
      <c r="DH102" s="39"/>
      <c r="DI102" s="39"/>
      <c r="DJ102" s="39">
        <v>0</v>
      </c>
      <c r="DK102" s="39">
        <f t="shared" si="62"/>
        <v>0</v>
      </c>
      <c r="DL102" s="39"/>
      <c r="DM102" s="39"/>
      <c r="DN102" s="43"/>
      <c r="DO102" s="43"/>
      <c r="DP102" s="39">
        <f t="shared" si="72"/>
        <v>0</v>
      </c>
      <c r="DQ102" s="39">
        <f t="shared" si="63"/>
        <v>0</v>
      </c>
      <c r="DR102" s="39"/>
      <c r="DS102" s="39"/>
      <c r="DT102" s="43"/>
      <c r="DU102" s="43"/>
      <c r="DV102" s="43"/>
      <c r="DW102" s="43"/>
      <c r="DX102" s="43"/>
      <c r="DY102" s="43"/>
      <c r="DZ102" s="39"/>
      <c r="EA102" s="39"/>
      <c r="EB102" s="43"/>
      <c r="EC102" s="43"/>
      <c r="ED102" s="43"/>
      <c r="EE102" s="43"/>
      <c r="EF102" s="39"/>
      <c r="EG102" s="43"/>
      <c r="EH102" s="43">
        <v>2463</v>
      </c>
      <c r="EI102" s="39">
        <v>2463</v>
      </c>
      <c r="EJ102" s="39">
        <v>191</v>
      </c>
      <c r="EK102" s="43">
        <v>129.6</v>
      </c>
      <c r="EL102" s="43"/>
      <c r="EM102" s="43"/>
      <c r="EN102" s="45"/>
      <c r="EO102" s="45"/>
      <c r="EP102" s="43"/>
      <c r="EQ102" s="43"/>
      <c r="ER102" s="43"/>
      <c r="ES102" s="43"/>
      <c r="ET102" s="135"/>
      <c r="EU102" s="135"/>
      <c r="EV102" s="135"/>
      <c r="EW102" s="135"/>
      <c r="EX102" s="43"/>
      <c r="EY102" s="43"/>
      <c r="EZ102" s="43"/>
      <c r="FA102" s="43"/>
      <c r="FB102" s="37">
        <f t="shared" si="73"/>
        <v>2654</v>
      </c>
      <c r="FC102" s="37">
        <f t="shared" si="74"/>
        <v>2592.6</v>
      </c>
      <c r="FD102" s="39"/>
      <c r="FE102" s="39"/>
      <c r="FF102" s="43"/>
      <c r="FG102" s="43"/>
      <c r="FH102" s="132">
        <f t="shared" si="75"/>
        <v>0</v>
      </c>
      <c r="FI102" s="132">
        <f t="shared" si="64"/>
        <v>0</v>
      </c>
      <c r="FJ102" s="39"/>
      <c r="FK102" s="39"/>
      <c r="FL102" s="43"/>
      <c r="FM102" s="43"/>
      <c r="FN102" s="43"/>
      <c r="FO102" s="43"/>
      <c r="FP102" s="43"/>
      <c r="FQ102" s="43"/>
      <c r="FR102" s="39"/>
      <c r="FS102" s="135"/>
      <c r="FT102" s="43"/>
      <c r="FU102" s="43"/>
      <c r="FV102" s="43"/>
      <c r="FW102" s="43"/>
      <c r="FX102" s="43"/>
      <c r="FY102" s="43"/>
      <c r="FZ102" s="43"/>
      <c r="GA102" s="43"/>
      <c r="GB102" s="43"/>
      <c r="GC102" s="43"/>
      <c r="GD102" s="135"/>
      <c r="GE102" s="135"/>
      <c r="GF102" s="43"/>
      <c r="GG102" s="43"/>
      <c r="GH102" s="43"/>
      <c r="GI102" s="43"/>
      <c r="GJ102" s="43"/>
      <c r="GK102" s="43"/>
      <c r="GL102" s="43"/>
      <c r="GM102" s="43"/>
      <c r="GN102" s="43"/>
      <c r="GO102" s="43"/>
      <c r="GP102" s="43"/>
      <c r="GQ102" s="43"/>
      <c r="GR102" s="43"/>
      <c r="GS102" s="43"/>
      <c r="GT102" s="43"/>
      <c r="GU102" s="43"/>
      <c r="GV102" s="43"/>
      <c r="GW102" s="43"/>
      <c r="GX102" s="45"/>
      <c r="GY102" s="45"/>
      <c r="GZ102" s="43"/>
      <c r="HA102" s="43"/>
      <c r="HB102" s="43"/>
      <c r="HC102" s="43"/>
      <c r="HD102" s="39">
        <f t="shared" si="76"/>
        <v>0</v>
      </c>
      <c r="HE102" s="39">
        <f t="shared" si="77"/>
        <v>0</v>
      </c>
      <c r="HF102" s="39"/>
      <c r="HG102" s="39"/>
      <c r="HH102" s="39"/>
      <c r="HI102" s="43"/>
      <c r="HJ102" s="43"/>
      <c r="HK102" s="43"/>
      <c r="HL102" s="43"/>
      <c r="HM102" s="43"/>
      <c r="HN102" s="136"/>
      <c r="HO102" s="136"/>
      <c r="HP102" s="39">
        <f t="shared" si="78"/>
        <v>0</v>
      </c>
      <c r="HQ102" s="39">
        <f t="shared" si="79"/>
        <v>0</v>
      </c>
      <c r="HR102" s="39"/>
      <c r="HS102" s="39"/>
      <c r="HT102" s="39"/>
      <c r="HU102" s="43"/>
      <c r="HV102" s="39"/>
      <c r="HW102" s="39"/>
      <c r="HX102" s="39">
        <f t="shared" si="80"/>
        <v>0</v>
      </c>
      <c r="HY102" s="39">
        <f t="shared" si="81"/>
        <v>0</v>
      </c>
    </row>
    <row r="103" spans="1:233" ht="12.75">
      <c r="A103" s="12" t="s">
        <v>265</v>
      </c>
      <c r="B103" s="39"/>
      <c r="C103" s="39"/>
      <c r="D103" s="39">
        <f>446+446+447+372+372+372+372+372+372+297.3+297.4+297.3</f>
        <v>4463</v>
      </c>
      <c r="E103" s="39">
        <f>446+446+447+372+372+372+372+372+372+297.3+297.4+297.3</f>
        <v>4463</v>
      </c>
      <c r="F103" s="39"/>
      <c r="G103" s="39"/>
      <c r="H103" s="34"/>
      <c r="I103" s="34"/>
      <c r="J103" s="34">
        <v>1583.3</v>
      </c>
      <c r="K103" s="34">
        <v>1583.3</v>
      </c>
      <c r="L103" s="34"/>
      <c r="M103" s="34"/>
      <c r="N103" s="34"/>
      <c r="O103" s="34"/>
      <c r="P103" s="51"/>
      <c r="Q103" s="51"/>
      <c r="R103" s="39">
        <v>610</v>
      </c>
      <c r="S103" s="39">
        <f>607.94066</f>
        <v>607.94066</v>
      </c>
      <c r="T103" s="39">
        <v>0</v>
      </c>
      <c r="U103" s="39"/>
      <c r="V103" s="39">
        <v>101.85</v>
      </c>
      <c r="W103" s="39">
        <f>5.8+10+22.5+39.8+23.75</f>
        <v>101.85</v>
      </c>
      <c r="X103" s="34"/>
      <c r="Y103" s="34"/>
      <c r="Z103" s="51"/>
      <c r="AA103" s="51"/>
      <c r="AB103" s="34"/>
      <c r="AC103" s="34"/>
      <c r="AD103" s="34"/>
      <c r="AE103" s="34"/>
      <c r="AF103" s="39">
        <v>290</v>
      </c>
      <c r="AG103" s="39">
        <f>24.2+24.2+24.2+24.2+24.2+41.5+43+5.2+17.2+22.5+20+19.6</f>
        <v>290</v>
      </c>
      <c r="AH103" s="126">
        <f t="shared" si="65"/>
        <v>7048.150000000001</v>
      </c>
      <c r="AI103" s="126">
        <f t="shared" si="66"/>
        <v>7046.090660000001</v>
      </c>
      <c r="AJ103" s="43"/>
      <c r="AK103" s="43"/>
      <c r="AL103" s="134"/>
      <c r="AM103" s="41"/>
      <c r="AN103" s="41"/>
      <c r="AO103" s="41"/>
      <c r="AP103" s="41"/>
      <c r="AQ103" s="41"/>
      <c r="AR103" s="39"/>
      <c r="AS103" s="39"/>
      <c r="AT103" s="43"/>
      <c r="AU103" s="43"/>
      <c r="AV103" s="43"/>
      <c r="AW103" s="43"/>
      <c r="AX103" s="43"/>
      <c r="AY103" s="43"/>
      <c r="AZ103" s="39">
        <f t="shared" si="67"/>
        <v>0</v>
      </c>
      <c r="BA103" s="39">
        <f t="shared" si="61"/>
        <v>0</v>
      </c>
      <c r="BB103" s="39">
        <v>0</v>
      </c>
      <c r="BC103" s="39">
        <v>0</v>
      </c>
      <c r="BD103" s="39">
        <v>266.8</v>
      </c>
      <c r="BE103" s="43">
        <v>266.8</v>
      </c>
      <c r="BF103" s="43"/>
      <c r="BG103" s="43"/>
      <c r="BH103" s="43"/>
      <c r="BI103" s="43"/>
      <c r="BJ103" s="43"/>
      <c r="BK103" s="43"/>
      <c r="BL103" s="43"/>
      <c r="BM103" s="43"/>
      <c r="BN103" s="45"/>
      <c r="BO103" s="45"/>
      <c r="BP103" s="45"/>
      <c r="BQ103" s="45"/>
      <c r="BR103" s="43"/>
      <c r="BS103" s="43"/>
      <c r="BT103" s="43"/>
      <c r="BU103" s="43"/>
      <c r="BV103" s="45"/>
      <c r="BW103" s="45"/>
      <c r="BX103" s="43"/>
      <c r="BY103" s="45"/>
      <c r="BZ103" s="43"/>
      <c r="CA103" s="45"/>
      <c r="CB103" s="45"/>
      <c r="CC103" s="45"/>
      <c r="CD103" s="45"/>
      <c r="CE103" s="45"/>
      <c r="CF103" s="39">
        <f t="shared" si="68"/>
        <v>266.8</v>
      </c>
      <c r="CG103" s="39">
        <f t="shared" si="69"/>
        <v>266.8</v>
      </c>
      <c r="CH103" s="39"/>
      <c r="CI103" s="39"/>
      <c r="CJ103" s="39"/>
      <c r="CK103" s="45"/>
      <c r="CL103" s="45"/>
      <c r="CM103" s="43"/>
      <c r="CN103" s="43"/>
      <c r="CO103" s="43"/>
      <c r="CP103" s="43"/>
      <c r="CQ103" s="39"/>
      <c r="CR103" s="43"/>
      <c r="CS103" s="45"/>
      <c r="CT103" s="45"/>
      <c r="CU103" s="45"/>
      <c r="CV103" s="45"/>
      <c r="CW103" s="43"/>
      <c r="CX103" s="43"/>
      <c r="CY103" s="43"/>
      <c r="CZ103" s="39"/>
      <c r="DA103" s="45"/>
      <c r="DB103" s="43"/>
      <c r="DC103" s="43"/>
      <c r="DD103" s="43"/>
      <c r="DE103" s="43"/>
      <c r="DF103" s="39">
        <f t="shared" si="70"/>
        <v>0</v>
      </c>
      <c r="DG103" s="39">
        <f t="shared" si="71"/>
        <v>0</v>
      </c>
      <c r="DH103" s="39"/>
      <c r="DI103" s="39"/>
      <c r="DJ103" s="39">
        <v>0</v>
      </c>
      <c r="DK103" s="39">
        <f t="shared" si="62"/>
        <v>0</v>
      </c>
      <c r="DL103" s="39"/>
      <c r="DM103" s="39"/>
      <c r="DN103" s="43"/>
      <c r="DO103" s="43"/>
      <c r="DP103" s="39">
        <f t="shared" si="72"/>
        <v>0</v>
      </c>
      <c r="DQ103" s="39">
        <f t="shared" si="63"/>
        <v>0</v>
      </c>
      <c r="DR103" s="39"/>
      <c r="DS103" s="39"/>
      <c r="DT103" s="43"/>
      <c r="DU103" s="43"/>
      <c r="DV103" s="43"/>
      <c r="DW103" s="43"/>
      <c r="DX103" s="43"/>
      <c r="DY103" s="43"/>
      <c r="DZ103" s="39"/>
      <c r="EA103" s="39"/>
      <c r="EB103" s="43"/>
      <c r="EC103" s="43"/>
      <c r="ED103" s="43"/>
      <c r="EE103" s="43"/>
      <c r="EF103" s="39">
        <v>1663</v>
      </c>
      <c r="EG103" s="43">
        <v>1663</v>
      </c>
      <c r="EH103" s="43">
        <v>3010</v>
      </c>
      <c r="EI103" s="39">
        <v>3010</v>
      </c>
      <c r="EJ103" s="39">
        <v>196</v>
      </c>
      <c r="EK103" s="43">
        <v>124</v>
      </c>
      <c r="EL103" s="43"/>
      <c r="EM103" s="43"/>
      <c r="EN103" s="45"/>
      <c r="EO103" s="45"/>
      <c r="EP103" s="43"/>
      <c r="EQ103" s="43"/>
      <c r="ER103" s="43"/>
      <c r="ES103" s="43"/>
      <c r="ET103" s="135"/>
      <c r="EU103" s="135"/>
      <c r="EV103" s="135"/>
      <c r="EW103" s="135"/>
      <c r="EX103" s="43"/>
      <c r="EY103" s="43"/>
      <c r="EZ103" s="43"/>
      <c r="FA103" s="43"/>
      <c r="FB103" s="37">
        <f t="shared" si="73"/>
        <v>4869</v>
      </c>
      <c r="FC103" s="37">
        <f t="shared" si="74"/>
        <v>4797</v>
      </c>
      <c r="FD103" s="39"/>
      <c r="FE103" s="39"/>
      <c r="FF103" s="43"/>
      <c r="FG103" s="43"/>
      <c r="FH103" s="132">
        <f t="shared" si="75"/>
        <v>0</v>
      </c>
      <c r="FI103" s="132">
        <f t="shared" si="64"/>
        <v>0</v>
      </c>
      <c r="FJ103" s="39"/>
      <c r="FK103" s="39"/>
      <c r="FL103" s="43"/>
      <c r="FM103" s="43"/>
      <c r="FN103" s="43"/>
      <c r="FO103" s="43"/>
      <c r="FP103" s="43"/>
      <c r="FQ103" s="43"/>
      <c r="FR103" s="39"/>
      <c r="FS103" s="135"/>
      <c r="FT103" s="43"/>
      <c r="FU103" s="43"/>
      <c r="FV103" s="43"/>
      <c r="FW103" s="43"/>
      <c r="FX103" s="43"/>
      <c r="FY103" s="43"/>
      <c r="FZ103" s="43"/>
      <c r="GA103" s="43"/>
      <c r="GB103" s="43"/>
      <c r="GC103" s="43"/>
      <c r="GD103" s="135"/>
      <c r="GE103" s="135"/>
      <c r="GF103" s="43"/>
      <c r="GG103" s="43"/>
      <c r="GH103" s="43"/>
      <c r="GI103" s="43"/>
      <c r="GJ103" s="43"/>
      <c r="GK103" s="43"/>
      <c r="GL103" s="43"/>
      <c r="GM103" s="43"/>
      <c r="GN103" s="43"/>
      <c r="GO103" s="43"/>
      <c r="GP103" s="43"/>
      <c r="GQ103" s="43"/>
      <c r="GR103" s="43"/>
      <c r="GS103" s="43"/>
      <c r="GT103" s="43"/>
      <c r="GU103" s="43"/>
      <c r="GV103" s="43"/>
      <c r="GW103" s="43"/>
      <c r="GX103" s="45"/>
      <c r="GY103" s="45"/>
      <c r="GZ103" s="43"/>
      <c r="HA103" s="43"/>
      <c r="HB103" s="43"/>
      <c r="HC103" s="43"/>
      <c r="HD103" s="39">
        <f t="shared" si="76"/>
        <v>0</v>
      </c>
      <c r="HE103" s="39">
        <f t="shared" si="77"/>
        <v>0</v>
      </c>
      <c r="HF103" s="39"/>
      <c r="HG103" s="39"/>
      <c r="HH103" s="39"/>
      <c r="HI103" s="43"/>
      <c r="HJ103" s="43"/>
      <c r="HK103" s="43"/>
      <c r="HL103" s="43"/>
      <c r="HM103" s="43"/>
      <c r="HN103" s="136"/>
      <c r="HO103" s="136"/>
      <c r="HP103" s="39">
        <f t="shared" si="78"/>
        <v>0</v>
      </c>
      <c r="HQ103" s="39">
        <f t="shared" si="79"/>
        <v>0</v>
      </c>
      <c r="HR103" s="39"/>
      <c r="HS103" s="39"/>
      <c r="HT103" s="39"/>
      <c r="HU103" s="43"/>
      <c r="HV103" s="39"/>
      <c r="HW103" s="39"/>
      <c r="HX103" s="39">
        <f t="shared" si="80"/>
        <v>0</v>
      </c>
      <c r="HY103" s="39">
        <f t="shared" si="81"/>
        <v>0</v>
      </c>
    </row>
    <row r="104" spans="1:233" ht="12.75" customHeight="1">
      <c r="A104" s="13" t="s">
        <v>129</v>
      </c>
      <c r="B104" s="39">
        <f>SUM(B105:B113)</f>
        <v>0</v>
      </c>
      <c r="C104" s="39">
        <f aca="true" t="shared" si="94" ref="C104:BN104">SUM(C105:C113)</f>
        <v>0</v>
      </c>
      <c r="D104" s="39">
        <f t="shared" si="94"/>
        <v>25548</v>
      </c>
      <c r="E104" s="39">
        <f t="shared" si="94"/>
        <v>25548</v>
      </c>
      <c r="F104" s="39">
        <f t="shared" si="94"/>
        <v>0</v>
      </c>
      <c r="G104" s="39">
        <f t="shared" si="94"/>
        <v>0</v>
      </c>
      <c r="H104" s="39">
        <f t="shared" si="94"/>
        <v>0</v>
      </c>
      <c r="I104" s="39">
        <f t="shared" si="94"/>
        <v>0</v>
      </c>
      <c r="J104" s="39">
        <f t="shared" si="94"/>
        <v>0</v>
      </c>
      <c r="K104" s="39">
        <f t="shared" si="94"/>
        <v>0</v>
      </c>
      <c r="L104" s="39">
        <f t="shared" si="94"/>
        <v>5000</v>
      </c>
      <c r="M104" s="39">
        <f t="shared" si="94"/>
        <v>5000</v>
      </c>
      <c r="N104" s="39">
        <f t="shared" si="94"/>
        <v>0</v>
      </c>
      <c r="O104" s="39">
        <f t="shared" si="94"/>
        <v>0</v>
      </c>
      <c r="P104" s="39">
        <f t="shared" si="94"/>
        <v>0</v>
      </c>
      <c r="Q104" s="39">
        <f t="shared" si="94"/>
        <v>0</v>
      </c>
      <c r="R104" s="39">
        <f t="shared" si="94"/>
        <v>35545</v>
      </c>
      <c r="S104" s="39">
        <f t="shared" si="94"/>
        <v>34509.793620000004</v>
      </c>
      <c r="T104" s="39">
        <f t="shared" si="94"/>
        <v>19564.8275</v>
      </c>
      <c r="U104" s="39">
        <f t="shared" si="94"/>
        <v>19564.8275</v>
      </c>
      <c r="V104" s="39">
        <f t="shared" si="94"/>
        <v>172</v>
      </c>
      <c r="W104" s="39">
        <f t="shared" si="94"/>
        <v>172</v>
      </c>
      <c r="X104" s="39">
        <f t="shared" si="94"/>
        <v>0</v>
      </c>
      <c r="Y104" s="39">
        <f t="shared" si="94"/>
        <v>0</v>
      </c>
      <c r="Z104" s="39">
        <f t="shared" si="94"/>
        <v>0</v>
      </c>
      <c r="AA104" s="39">
        <f t="shared" si="94"/>
        <v>0</v>
      </c>
      <c r="AB104" s="39">
        <f t="shared" si="94"/>
        <v>0</v>
      </c>
      <c r="AC104" s="39">
        <f t="shared" si="94"/>
        <v>0</v>
      </c>
      <c r="AD104" s="39">
        <f t="shared" si="94"/>
        <v>0</v>
      </c>
      <c r="AE104" s="39">
        <f t="shared" si="94"/>
        <v>0</v>
      </c>
      <c r="AF104" s="39">
        <f t="shared" si="94"/>
        <v>1467</v>
      </c>
      <c r="AG104" s="39">
        <f t="shared" si="94"/>
        <v>1370.36644</v>
      </c>
      <c r="AH104" s="39">
        <f t="shared" si="94"/>
        <v>87296.8275</v>
      </c>
      <c r="AI104" s="39">
        <f t="shared" si="94"/>
        <v>86164.98756000001</v>
      </c>
      <c r="AJ104" s="39">
        <f t="shared" si="94"/>
        <v>697.7</v>
      </c>
      <c r="AK104" s="39">
        <f t="shared" si="94"/>
        <v>697.7</v>
      </c>
      <c r="AL104" s="39">
        <f t="shared" si="94"/>
        <v>0</v>
      </c>
      <c r="AM104" s="39">
        <f t="shared" si="94"/>
        <v>0</v>
      </c>
      <c r="AN104" s="39">
        <f t="shared" si="94"/>
        <v>0</v>
      </c>
      <c r="AO104" s="39">
        <f t="shared" si="94"/>
        <v>0</v>
      </c>
      <c r="AP104" s="39">
        <f t="shared" si="94"/>
        <v>0</v>
      </c>
      <c r="AQ104" s="39">
        <f t="shared" si="94"/>
        <v>0</v>
      </c>
      <c r="AR104" s="39">
        <f t="shared" si="94"/>
        <v>2095</v>
      </c>
      <c r="AS104" s="39">
        <f t="shared" si="94"/>
        <v>2095</v>
      </c>
      <c r="AT104" s="39">
        <f t="shared" si="94"/>
        <v>30</v>
      </c>
      <c r="AU104" s="39">
        <f t="shared" si="94"/>
        <v>30</v>
      </c>
      <c r="AV104" s="39">
        <f t="shared" si="94"/>
        <v>0</v>
      </c>
      <c r="AW104" s="39">
        <f t="shared" si="94"/>
        <v>0</v>
      </c>
      <c r="AX104" s="39">
        <f t="shared" si="94"/>
        <v>0</v>
      </c>
      <c r="AY104" s="39">
        <f t="shared" si="94"/>
        <v>0</v>
      </c>
      <c r="AZ104" s="39">
        <f t="shared" si="94"/>
        <v>2822.7</v>
      </c>
      <c r="BA104" s="39">
        <f t="shared" si="94"/>
        <v>2822.7</v>
      </c>
      <c r="BB104" s="39">
        <f t="shared" si="94"/>
        <v>2115</v>
      </c>
      <c r="BC104" s="39">
        <f t="shared" si="94"/>
        <v>2115</v>
      </c>
      <c r="BD104" s="39">
        <f t="shared" si="94"/>
        <v>1044.7</v>
      </c>
      <c r="BE104" s="39">
        <f t="shared" si="94"/>
        <v>181.573</v>
      </c>
      <c r="BF104" s="39">
        <f t="shared" si="94"/>
        <v>0</v>
      </c>
      <c r="BG104" s="39">
        <f t="shared" si="94"/>
        <v>0</v>
      </c>
      <c r="BH104" s="39">
        <f t="shared" si="94"/>
        <v>0</v>
      </c>
      <c r="BI104" s="39">
        <f t="shared" si="94"/>
        <v>0</v>
      </c>
      <c r="BJ104" s="39">
        <f t="shared" si="94"/>
        <v>0</v>
      </c>
      <c r="BK104" s="39">
        <f t="shared" si="94"/>
        <v>0</v>
      </c>
      <c r="BL104" s="39">
        <f t="shared" si="94"/>
        <v>0</v>
      </c>
      <c r="BM104" s="39">
        <f t="shared" si="94"/>
        <v>0</v>
      </c>
      <c r="BN104" s="39">
        <f t="shared" si="94"/>
        <v>402.759</v>
      </c>
      <c r="BO104" s="39">
        <f aca="true" t="shared" si="95" ref="BO104:DZ104">SUM(BO105:BO113)</f>
        <v>402.759</v>
      </c>
      <c r="BP104" s="39">
        <f t="shared" si="95"/>
        <v>0</v>
      </c>
      <c r="BQ104" s="39">
        <f t="shared" si="95"/>
        <v>0</v>
      </c>
      <c r="BR104" s="39">
        <f t="shared" si="95"/>
        <v>0</v>
      </c>
      <c r="BS104" s="39">
        <f t="shared" si="95"/>
        <v>0</v>
      </c>
      <c r="BT104" s="39">
        <f t="shared" si="95"/>
        <v>1800.978</v>
      </c>
      <c r="BU104" s="39">
        <f t="shared" si="95"/>
        <v>1800.978</v>
      </c>
      <c r="BV104" s="39">
        <f t="shared" si="95"/>
        <v>2154.4</v>
      </c>
      <c r="BW104" s="39">
        <f t="shared" si="95"/>
        <v>2154.4</v>
      </c>
      <c r="BX104" s="39">
        <f t="shared" si="95"/>
        <v>2132.25</v>
      </c>
      <c r="BY104" s="39">
        <f t="shared" si="95"/>
        <v>0</v>
      </c>
      <c r="BZ104" s="39">
        <f t="shared" si="95"/>
        <v>0</v>
      </c>
      <c r="CA104" s="39">
        <f t="shared" si="95"/>
        <v>0</v>
      </c>
      <c r="CB104" s="39">
        <f t="shared" si="95"/>
        <v>2301.48</v>
      </c>
      <c r="CC104" s="39">
        <f t="shared" si="95"/>
        <v>2301.48</v>
      </c>
      <c r="CD104" s="39">
        <f t="shared" si="95"/>
        <v>1150.74</v>
      </c>
      <c r="CE104" s="39">
        <f t="shared" si="95"/>
        <v>1150.74</v>
      </c>
      <c r="CF104" s="39">
        <f t="shared" si="95"/>
        <v>10987.307</v>
      </c>
      <c r="CG104" s="39">
        <f t="shared" si="95"/>
        <v>7991.93</v>
      </c>
      <c r="CH104" s="39">
        <f t="shared" si="95"/>
        <v>10084.91589</v>
      </c>
      <c r="CI104" s="39">
        <f t="shared" si="95"/>
        <v>10084.91589</v>
      </c>
      <c r="CJ104" s="39">
        <f t="shared" si="95"/>
        <v>3220.3995099999997</v>
      </c>
      <c r="CK104" s="39">
        <f t="shared" si="95"/>
        <v>3220.3995099999997</v>
      </c>
      <c r="CL104" s="39">
        <f t="shared" si="95"/>
        <v>0</v>
      </c>
      <c r="CM104" s="39">
        <f t="shared" si="95"/>
        <v>0</v>
      </c>
      <c r="CN104" s="39">
        <f t="shared" si="95"/>
        <v>0</v>
      </c>
      <c r="CO104" s="39">
        <f t="shared" si="95"/>
        <v>0</v>
      </c>
      <c r="CP104" s="39">
        <f t="shared" si="95"/>
        <v>0</v>
      </c>
      <c r="CQ104" s="39">
        <f t="shared" si="95"/>
        <v>0</v>
      </c>
      <c r="CR104" s="39">
        <f t="shared" si="95"/>
        <v>0</v>
      </c>
      <c r="CS104" s="39">
        <f t="shared" si="95"/>
        <v>0</v>
      </c>
      <c r="CT104" s="39">
        <f t="shared" si="95"/>
        <v>0</v>
      </c>
      <c r="CU104" s="39">
        <f t="shared" si="95"/>
        <v>0</v>
      </c>
      <c r="CV104" s="39">
        <f t="shared" si="95"/>
        <v>0</v>
      </c>
      <c r="CW104" s="39">
        <f t="shared" si="95"/>
        <v>0</v>
      </c>
      <c r="CX104" s="39">
        <f t="shared" si="95"/>
        <v>0</v>
      </c>
      <c r="CY104" s="39">
        <f t="shared" si="95"/>
        <v>0</v>
      </c>
      <c r="CZ104" s="39">
        <f t="shared" si="95"/>
        <v>869.874</v>
      </c>
      <c r="DA104" s="39">
        <f t="shared" si="95"/>
        <v>863.9971</v>
      </c>
      <c r="DB104" s="39">
        <f t="shared" si="95"/>
        <v>0</v>
      </c>
      <c r="DC104" s="39">
        <f t="shared" si="95"/>
        <v>0</v>
      </c>
      <c r="DD104" s="39">
        <f t="shared" si="95"/>
        <v>0</v>
      </c>
      <c r="DE104" s="39">
        <f t="shared" si="95"/>
        <v>0</v>
      </c>
      <c r="DF104" s="39">
        <f t="shared" si="95"/>
        <v>14175.1894</v>
      </c>
      <c r="DG104" s="39">
        <f t="shared" si="95"/>
        <v>14169.3125</v>
      </c>
      <c r="DH104" s="39">
        <f t="shared" si="95"/>
        <v>965.42</v>
      </c>
      <c r="DI104" s="39">
        <f t="shared" si="95"/>
        <v>965.42</v>
      </c>
      <c r="DJ104" s="39">
        <f t="shared" si="95"/>
        <v>965.42</v>
      </c>
      <c r="DK104" s="39">
        <f t="shared" si="95"/>
        <v>965.42</v>
      </c>
      <c r="DL104" s="39">
        <f t="shared" si="95"/>
        <v>0</v>
      </c>
      <c r="DM104" s="39">
        <f t="shared" si="95"/>
        <v>0</v>
      </c>
      <c r="DN104" s="39">
        <f t="shared" si="95"/>
        <v>700</v>
      </c>
      <c r="DO104" s="39">
        <f t="shared" si="95"/>
        <v>0</v>
      </c>
      <c r="DP104" s="39">
        <f t="shared" si="95"/>
        <v>700</v>
      </c>
      <c r="DQ104" s="39">
        <f t="shared" si="95"/>
        <v>0</v>
      </c>
      <c r="DR104" s="39">
        <f t="shared" si="95"/>
        <v>0</v>
      </c>
      <c r="DS104" s="39">
        <f t="shared" si="95"/>
        <v>0</v>
      </c>
      <c r="DT104" s="39">
        <f t="shared" si="95"/>
        <v>0</v>
      </c>
      <c r="DU104" s="39">
        <f t="shared" si="95"/>
        <v>0</v>
      </c>
      <c r="DV104" s="39">
        <f t="shared" si="95"/>
        <v>3</v>
      </c>
      <c r="DW104" s="39">
        <f t="shared" si="95"/>
        <v>3</v>
      </c>
      <c r="DX104" s="39">
        <f t="shared" si="95"/>
        <v>0</v>
      </c>
      <c r="DY104" s="39">
        <f t="shared" si="95"/>
        <v>0</v>
      </c>
      <c r="DZ104" s="39">
        <f t="shared" si="95"/>
        <v>0</v>
      </c>
      <c r="EA104" s="39">
        <f aca="true" t="shared" si="96" ref="EA104:GL104">SUM(EA105:EA113)</f>
        <v>0</v>
      </c>
      <c r="EB104" s="39">
        <f t="shared" si="96"/>
        <v>0</v>
      </c>
      <c r="EC104" s="39">
        <f t="shared" si="96"/>
        <v>0</v>
      </c>
      <c r="ED104" s="39">
        <f t="shared" si="96"/>
        <v>30</v>
      </c>
      <c r="EE104" s="39">
        <f t="shared" si="96"/>
        <v>30</v>
      </c>
      <c r="EF104" s="39">
        <f t="shared" si="96"/>
        <v>1096</v>
      </c>
      <c r="EG104" s="39">
        <f t="shared" si="96"/>
        <v>1034.61302</v>
      </c>
      <c r="EH104" s="39">
        <f t="shared" si="96"/>
        <v>23757.5</v>
      </c>
      <c r="EI104" s="39">
        <f t="shared" si="96"/>
        <v>23757.5</v>
      </c>
      <c r="EJ104" s="39">
        <f t="shared" si="96"/>
        <v>1057</v>
      </c>
      <c r="EK104" s="39">
        <f t="shared" si="96"/>
        <v>1057</v>
      </c>
      <c r="EL104" s="39">
        <f t="shared" si="96"/>
        <v>0</v>
      </c>
      <c r="EM104" s="39">
        <f t="shared" si="96"/>
        <v>0</v>
      </c>
      <c r="EN104" s="39">
        <f t="shared" si="96"/>
        <v>0</v>
      </c>
      <c r="EO104" s="39">
        <f t="shared" si="96"/>
        <v>0</v>
      </c>
      <c r="EP104" s="39">
        <f t="shared" si="96"/>
        <v>0</v>
      </c>
      <c r="EQ104" s="39">
        <f t="shared" si="96"/>
        <v>0</v>
      </c>
      <c r="ER104" s="39">
        <f t="shared" si="96"/>
        <v>0</v>
      </c>
      <c r="ES104" s="39">
        <f t="shared" si="96"/>
        <v>0</v>
      </c>
      <c r="ET104" s="39">
        <f t="shared" si="96"/>
        <v>0</v>
      </c>
      <c r="EU104" s="39">
        <f t="shared" si="96"/>
        <v>0</v>
      </c>
      <c r="EV104" s="39">
        <f t="shared" si="96"/>
        <v>13.4</v>
      </c>
      <c r="EW104" s="39">
        <f t="shared" si="96"/>
        <v>13.4</v>
      </c>
      <c r="EX104" s="39">
        <f t="shared" si="96"/>
        <v>0</v>
      </c>
      <c r="EY104" s="39">
        <f t="shared" si="96"/>
        <v>0</v>
      </c>
      <c r="EZ104" s="39">
        <f t="shared" si="96"/>
        <v>0</v>
      </c>
      <c r="FA104" s="39">
        <f t="shared" si="96"/>
        <v>0</v>
      </c>
      <c r="FB104" s="39">
        <f t="shared" si="96"/>
        <v>25956.9</v>
      </c>
      <c r="FC104" s="39">
        <f t="shared" si="96"/>
        <v>25895.513020000002</v>
      </c>
      <c r="FD104" s="39">
        <f t="shared" si="96"/>
        <v>184</v>
      </c>
      <c r="FE104" s="39">
        <f t="shared" si="96"/>
        <v>184</v>
      </c>
      <c r="FF104" s="39">
        <f t="shared" si="96"/>
        <v>16.7</v>
      </c>
      <c r="FG104" s="39">
        <f t="shared" si="96"/>
        <v>16.7</v>
      </c>
      <c r="FH104" s="39">
        <f t="shared" si="96"/>
        <v>200.7</v>
      </c>
      <c r="FI104" s="39">
        <f t="shared" si="96"/>
        <v>200.7</v>
      </c>
      <c r="FJ104" s="39">
        <f t="shared" si="96"/>
        <v>4155</v>
      </c>
      <c r="FK104" s="39">
        <f t="shared" si="96"/>
        <v>4155</v>
      </c>
      <c r="FL104" s="39">
        <f t="shared" si="96"/>
        <v>95</v>
      </c>
      <c r="FM104" s="39">
        <f t="shared" si="96"/>
        <v>95</v>
      </c>
      <c r="FN104" s="39">
        <f t="shared" si="96"/>
        <v>7094.7</v>
      </c>
      <c r="FO104" s="39">
        <f t="shared" si="96"/>
        <v>0</v>
      </c>
      <c r="FP104" s="39">
        <f t="shared" si="96"/>
        <v>0</v>
      </c>
      <c r="FQ104" s="39">
        <f t="shared" si="96"/>
        <v>0</v>
      </c>
      <c r="FR104" s="39">
        <f t="shared" si="96"/>
        <v>0</v>
      </c>
      <c r="FS104" s="39">
        <f t="shared" si="96"/>
        <v>0</v>
      </c>
      <c r="FT104" s="39">
        <f t="shared" si="96"/>
        <v>1930</v>
      </c>
      <c r="FU104" s="39">
        <f t="shared" si="96"/>
        <v>1930</v>
      </c>
      <c r="FV104" s="39">
        <f t="shared" si="96"/>
        <v>1132</v>
      </c>
      <c r="FW104" s="39">
        <f t="shared" si="96"/>
        <v>1132</v>
      </c>
      <c r="FX104" s="39">
        <f t="shared" si="96"/>
        <v>8895</v>
      </c>
      <c r="FY104" s="39">
        <f t="shared" si="96"/>
        <v>8895</v>
      </c>
      <c r="FZ104" s="39">
        <f t="shared" si="96"/>
        <v>8541</v>
      </c>
      <c r="GA104" s="39">
        <f t="shared" si="96"/>
        <v>8541</v>
      </c>
      <c r="GB104" s="39">
        <f t="shared" si="96"/>
        <v>0</v>
      </c>
      <c r="GC104" s="39">
        <f t="shared" si="96"/>
        <v>0</v>
      </c>
      <c r="GD104" s="39">
        <f t="shared" si="96"/>
        <v>5225</v>
      </c>
      <c r="GE104" s="39">
        <f t="shared" si="96"/>
        <v>5225</v>
      </c>
      <c r="GF104" s="39">
        <f t="shared" si="96"/>
        <v>1475.9</v>
      </c>
      <c r="GG104" s="39">
        <f t="shared" si="96"/>
        <v>1475.9</v>
      </c>
      <c r="GH104" s="39">
        <f t="shared" si="96"/>
        <v>632</v>
      </c>
      <c r="GI104" s="39">
        <f t="shared" si="96"/>
        <v>632</v>
      </c>
      <c r="GJ104" s="39">
        <f t="shared" si="96"/>
        <v>98612.9</v>
      </c>
      <c r="GK104" s="39">
        <f t="shared" si="96"/>
        <v>98612.9</v>
      </c>
      <c r="GL104" s="39">
        <f t="shared" si="96"/>
        <v>227568.7</v>
      </c>
      <c r="GM104" s="39">
        <f aca="true" t="shared" si="97" ref="GM104:HY104">SUM(GM105:GM113)</f>
        <v>227568.7</v>
      </c>
      <c r="GN104" s="39">
        <f t="shared" si="97"/>
        <v>1539</v>
      </c>
      <c r="GO104" s="39">
        <f t="shared" si="97"/>
        <v>1539</v>
      </c>
      <c r="GP104" s="39">
        <f t="shared" si="97"/>
        <v>14567.3</v>
      </c>
      <c r="GQ104" s="39">
        <f t="shared" si="97"/>
        <v>14567.3</v>
      </c>
      <c r="GR104" s="39">
        <f t="shared" si="97"/>
        <v>1505</v>
      </c>
      <c r="GS104" s="39">
        <f t="shared" si="97"/>
        <v>1505</v>
      </c>
      <c r="GT104" s="39">
        <f t="shared" si="97"/>
        <v>590</v>
      </c>
      <c r="GU104" s="39">
        <f t="shared" si="97"/>
        <v>590</v>
      </c>
      <c r="GV104" s="39">
        <f t="shared" si="97"/>
        <v>23494</v>
      </c>
      <c r="GW104" s="39">
        <f t="shared" si="97"/>
        <v>23494</v>
      </c>
      <c r="GX104" s="39">
        <f t="shared" si="97"/>
        <v>11934.7</v>
      </c>
      <c r="GY104" s="39">
        <f t="shared" si="97"/>
        <v>11934.7</v>
      </c>
      <c r="GZ104" s="39">
        <f t="shared" si="97"/>
        <v>50</v>
      </c>
      <c r="HA104" s="39">
        <f t="shared" si="97"/>
        <v>50</v>
      </c>
      <c r="HB104" s="39">
        <f t="shared" si="97"/>
        <v>301.1</v>
      </c>
      <c r="HC104" s="39">
        <f t="shared" si="97"/>
        <v>301.1</v>
      </c>
      <c r="HD104" s="39">
        <f t="shared" si="97"/>
        <v>419338.3</v>
      </c>
      <c r="HE104" s="39">
        <f t="shared" si="97"/>
        <v>412243.6</v>
      </c>
      <c r="HF104" s="39">
        <f t="shared" si="97"/>
        <v>427.5</v>
      </c>
      <c r="HG104" s="39">
        <f t="shared" si="97"/>
        <v>427.5</v>
      </c>
      <c r="HH104" s="39">
        <f t="shared" si="97"/>
        <v>24113.9</v>
      </c>
      <c r="HI104" s="39">
        <f t="shared" si="97"/>
        <v>23699.999</v>
      </c>
      <c r="HJ104" s="39">
        <f t="shared" si="97"/>
        <v>0</v>
      </c>
      <c r="HK104" s="39">
        <f t="shared" si="97"/>
        <v>0</v>
      </c>
      <c r="HL104" s="39">
        <f t="shared" si="97"/>
        <v>0</v>
      </c>
      <c r="HM104" s="39">
        <f t="shared" si="97"/>
        <v>0</v>
      </c>
      <c r="HN104" s="39">
        <f t="shared" si="97"/>
        <v>0</v>
      </c>
      <c r="HO104" s="39">
        <f t="shared" si="97"/>
        <v>0</v>
      </c>
      <c r="HP104" s="39">
        <f t="shared" si="97"/>
        <v>24541.4</v>
      </c>
      <c r="HQ104" s="39">
        <f t="shared" si="97"/>
        <v>24127.499</v>
      </c>
      <c r="HR104" s="39">
        <f t="shared" si="97"/>
        <v>0</v>
      </c>
      <c r="HS104" s="39">
        <f t="shared" si="97"/>
        <v>0</v>
      </c>
      <c r="HT104" s="39">
        <f t="shared" si="97"/>
        <v>356</v>
      </c>
      <c r="HU104" s="39">
        <f t="shared" si="97"/>
        <v>342.33</v>
      </c>
      <c r="HV104" s="39">
        <f t="shared" si="97"/>
        <v>8.905</v>
      </c>
      <c r="HW104" s="39">
        <f t="shared" si="97"/>
        <v>8.905</v>
      </c>
      <c r="HX104" s="39">
        <f t="shared" si="97"/>
        <v>364.905</v>
      </c>
      <c r="HY104" s="39">
        <f t="shared" si="97"/>
        <v>351.23499999999996</v>
      </c>
    </row>
    <row r="105" spans="1:233" ht="12.75">
      <c r="A105" s="12" t="s">
        <v>156</v>
      </c>
      <c r="B105" s="34"/>
      <c r="C105" s="34"/>
      <c r="D105" s="34"/>
      <c r="E105" s="34"/>
      <c r="F105" s="34"/>
      <c r="G105" s="34"/>
      <c r="H105" s="34"/>
      <c r="I105" s="34"/>
      <c r="J105" s="34"/>
      <c r="K105" s="34"/>
      <c r="L105" s="34"/>
      <c r="M105" s="34"/>
      <c r="N105" s="34"/>
      <c r="O105" s="34"/>
      <c r="P105" s="51"/>
      <c r="Q105" s="51"/>
      <c r="R105" s="39"/>
      <c r="S105" s="39"/>
      <c r="T105" s="39">
        <v>13929.960050000002</v>
      </c>
      <c r="U105" s="39">
        <f>7000+6929.96005</f>
        <v>13929.96005</v>
      </c>
      <c r="V105" s="39"/>
      <c r="W105" s="39"/>
      <c r="X105" s="34"/>
      <c r="Y105" s="34"/>
      <c r="Z105" s="51"/>
      <c r="AA105" s="51"/>
      <c r="AB105" s="34"/>
      <c r="AC105" s="34"/>
      <c r="AD105" s="34"/>
      <c r="AE105" s="34"/>
      <c r="AF105" s="39"/>
      <c r="AG105" s="48"/>
      <c r="AH105" s="126">
        <f t="shared" si="65"/>
        <v>13929.960050000002</v>
      </c>
      <c r="AI105" s="126">
        <f t="shared" si="66"/>
        <v>13929.96005</v>
      </c>
      <c r="AJ105" s="43">
        <v>697.7</v>
      </c>
      <c r="AK105" s="43">
        <v>697.7</v>
      </c>
      <c r="AL105" s="134"/>
      <c r="AM105" s="41"/>
      <c r="AN105" s="41"/>
      <c r="AO105" s="41"/>
      <c r="AP105" s="41"/>
      <c r="AQ105" s="41"/>
      <c r="AR105" s="39">
        <v>2095</v>
      </c>
      <c r="AS105" s="39">
        <v>2095</v>
      </c>
      <c r="AT105" s="43">
        <v>30</v>
      </c>
      <c r="AU105" s="43">
        <v>30</v>
      </c>
      <c r="AV105" s="43"/>
      <c r="AW105" s="43"/>
      <c r="AX105" s="43"/>
      <c r="AY105" s="43"/>
      <c r="AZ105" s="39">
        <f t="shared" si="67"/>
        <v>2822.7</v>
      </c>
      <c r="BA105" s="39">
        <f t="shared" si="61"/>
        <v>2822.7</v>
      </c>
      <c r="BB105" s="39">
        <v>2115</v>
      </c>
      <c r="BC105" s="39">
        <v>2115</v>
      </c>
      <c r="BD105" s="39"/>
      <c r="BE105" s="43"/>
      <c r="BF105" s="43"/>
      <c r="BG105" s="43"/>
      <c r="BH105" s="43"/>
      <c r="BI105" s="43"/>
      <c r="BJ105" s="43"/>
      <c r="BK105" s="43"/>
      <c r="BL105" s="43"/>
      <c r="BM105" s="43"/>
      <c r="BN105" s="43">
        <v>402.759</v>
      </c>
      <c r="BO105" s="43">
        <v>402.759</v>
      </c>
      <c r="BP105" s="43"/>
      <c r="BQ105" s="43"/>
      <c r="BR105" s="43"/>
      <c r="BS105" s="43"/>
      <c r="BT105" s="43">
        <v>745.9</v>
      </c>
      <c r="BU105" s="43">
        <v>745.9</v>
      </c>
      <c r="BV105" s="43">
        <v>867.3</v>
      </c>
      <c r="BW105" s="43">
        <v>867.3</v>
      </c>
      <c r="BX105" s="43">
        <v>2132.25</v>
      </c>
      <c r="BY105" s="45"/>
      <c r="BZ105" s="43"/>
      <c r="CA105" s="45"/>
      <c r="CB105" s="39">
        <v>2301.48</v>
      </c>
      <c r="CC105" s="39">
        <v>2301.48</v>
      </c>
      <c r="CD105" s="43">
        <v>1150.74</v>
      </c>
      <c r="CE105" s="43">
        <v>1150.74</v>
      </c>
      <c r="CF105" s="39">
        <f t="shared" si="68"/>
        <v>7600.429</v>
      </c>
      <c r="CG105" s="39">
        <f t="shared" si="69"/>
        <v>5468.179</v>
      </c>
      <c r="CH105" s="39"/>
      <c r="CI105" s="39"/>
      <c r="CJ105" s="39"/>
      <c r="CK105" s="45"/>
      <c r="CL105" s="45"/>
      <c r="CM105" s="43"/>
      <c r="CN105" s="43"/>
      <c r="CO105" s="43"/>
      <c r="CP105" s="43"/>
      <c r="CQ105" s="39"/>
      <c r="CR105" s="43"/>
      <c r="CS105" s="45"/>
      <c r="CT105" s="45"/>
      <c r="CU105" s="45"/>
      <c r="CV105" s="45"/>
      <c r="CW105" s="43"/>
      <c r="CX105" s="43"/>
      <c r="CY105" s="43"/>
      <c r="CZ105" s="39">
        <v>584.67</v>
      </c>
      <c r="DA105" s="39">
        <v>578.7931</v>
      </c>
      <c r="DB105" s="43"/>
      <c r="DC105" s="43"/>
      <c r="DD105" s="43"/>
      <c r="DE105" s="43"/>
      <c r="DF105" s="39">
        <f t="shared" si="70"/>
        <v>584.67</v>
      </c>
      <c r="DG105" s="39">
        <f t="shared" si="71"/>
        <v>578.7931</v>
      </c>
      <c r="DH105" s="39">
        <v>965.42</v>
      </c>
      <c r="DI105" s="39">
        <v>965.42</v>
      </c>
      <c r="DJ105" s="39">
        <v>965.42</v>
      </c>
      <c r="DK105" s="39">
        <f t="shared" si="62"/>
        <v>965.42</v>
      </c>
      <c r="DL105" s="39"/>
      <c r="DM105" s="39"/>
      <c r="DN105" s="43">
        <v>700</v>
      </c>
      <c r="DO105" s="43"/>
      <c r="DP105" s="39">
        <f t="shared" si="72"/>
        <v>700</v>
      </c>
      <c r="DQ105" s="39">
        <f t="shared" si="63"/>
        <v>0</v>
      </c>
      <c r="DR105" s="39"/>
      <c r="DS105" s="39"/>
      <c r="DT105" s="43"/>
      <c r="DU105" s="43"/>
      <c r="DV105" s="43">
        <v>3</v>
      </c>
      <c r="DW105" s="43">
        <v>3</v>
      </c>
      <c r="DX105" s="43"/>
      <c r="DY105" s="43"/>
      <c r="DZ105" s="39"/>
      <c r="EA105" s="39"/>
      <c r="EB105" s="43"/>
      <c r="EC105" s="43"/>
      <c r="ED105" s="43">
        <v>30</v>
      </c>
      <c r="EE105" s="43">
        <v>30</v>
      </c>
      <c r="EF105" s="39"/>
      <c r="EG105" s="43"/>
      <c r="EH105" s="43">
        <v>11795</v>
      </c>
      <c r="EI105" s="39">
        <v>11795</v>
      </c>
      <c r="EJ105" s="39">
        <v>1057</v>
      </c>
      <c r="EK105" s="43">
        <v>1057</v>
      </c>
      <c r="EL105" s="43"/>
      <c r="EM105" s="43"/>
      <c r="EN105" s="45"/>
      <c r="EO105" s="45"/>
      <c r="EP105" s="43"/>
      <c r="EQ105" s="43"/>
      <c r="ER105" s="43"/>
      <c r="ES105" s="43"/>
      <c r="ET105" s="135"/>
      <c r="EU105" s="135"/>
      <c r="EV105" s="135">
        <v>6.7</v>
      </c>
      <c r="EW105" s="135">
        <v>6.7</v>
      </c>
      <c r="EX105" s="43"/>
      <c r="EY105" s="43"/>
      <c r="EZ105" s="43"/>
      <c r="FA105" s="43"/>
      <c r="FB105" s="37">
        <f t="shared" si="73"/>
        <v>12891.7</v>
      </c>
      <c r="FC105" s="37">
        <f t="shared" si="74"/>
        <v>12891.7</v>
      </c>
      <c r="FD105" s="39">
        <v>184</v>
      </c>
      <c r="FE105" s="39">
        <v>184</v>
      </c>
      <c r="FF105" s="43">
        <v>16.7</v>
      </c>
      <c r="FG105" s="43">
        <v>16.7</v>
      </c>
      <c r="FH105" s="132">
        <f t="shared" si="75"/>
        <v>200.7</v>
      </c>
      <c r="FI105" s="132">
        <f t="shared" si="64"/>
        <v>200.7</v>
      </c>
      <c r="FJ105" s="39">
        <v>4155</v>
      </c>
      <c r="FK105" s="39">
        <v>4155</v>
      </c>
      <c r="FL105" s="43">
        <v>95</v>
      </c>
      <c r="FM105" s="43">
        <v>95</v>
      </c>
      <c r="FN105" s="43">
        <v>7094.7</v>
      </c>
      <c r="FO105" s="43">
        <v>0</v>
      </c>
      <c r="FP105" s="43"/>
      <c r="FQ105" s="43"/>
      <c r="FR105" s="39"/>
      <c r="FS105" s="135"/>
      <c r="FT105" s="43">
        <v>1930</v>
      </c>
      <c r="FU105" s="43">
        <v>1930</v>
      </c>
      <c r="FV105" s="43">
        <v>1132</v>
      </c>
      <c r="FW105" s="43">
        <v>1132</v>
      </c>
      <c r="FX105" s="43">
        <v>8895</v>
      </c>
      <c r="FY105" s="43">
        <v>8895</v>
      </c>
      <c r="FZ105" s="43">
        <v>8541</v>
      </c>
      <c r="GA105" s="43">
        <v>8541</v>
      </c>
      <c r="GB105" s="43"/>
      <c r="GC105" s="43"/>
      <c r="GD105" s="135">
        <v>5225</v>
      </c>
      <c r="GE105" s="135">
        <v>5225</v>
      </c>
      <c r="GF105" s="43">
        <v>1475.9</v>
      </c>
      <c r="GG105" s="43">
        <v>1475.9</v>
      </c>
      <c r="GH105" s="43">
        <v>632</v>
      </c>
      <c r="GI105" s="43">
        <v>632</v>
      </c>
      <c r="GJ105" s="43">
        <v>98612.9</v>
      </c>
      <c r="GK105" s="43">
        <v>98612.9</v>
      </c>
      <c r="GL105" s="43">
        <v>227568.7</v>
      </c>
      <c r="GM105" s="43">
        <v>227568.7</v>
      </c>
      <c r="GN105" s="43">
        <v>1539</v>
      </c>
      <c r="GO105" s="43">
        <v>1539</v>
      </c>
      <c r="GP105" s="43">
        <v>14567.3</v>
      </c>
      <c r="GQ105" s="43">
        <v>14567.3</v>
      </c>
      <c r="GR105" s="43">
        <v>1505</v>
      </c>
      <c r="GS105" s="43">
        <v>1505</v>
      </c>
      <c r="GT105" s="43">
        <v>590</v>
      </c>
      <c r="GU105" s="43">
        <v>590</v>
      </c>
      <c r="GV105" s="43">
        <v>23494</v>
      </c>
      <c r="GW105" s="43">
        <v>23494</v>
      </c>
      <c r="GX105" s="43">
        <v>11934.7</v>
      </c>
      <c r="GY105" s="43">
        <v>11934.7</v>
      </c>
      <c r="GZ105" s="43">
        <v>50</v>
      </c>
      <c r="HA105" s="43">
        <v>50</v>
      </c>
      <c r="HB105" s="43">
        <v>301.1</v>
      </c>
      <c r="HC105" s="43">
        <v>301.1</v>
      </c>
      <c r="HD105" s="39">
        <f t="shared" si="76"/>
        <v>419338.3</v>
      </c>
      <c r="HE105" s="39">
        <f t="shared" si="77"/>
        <v>412243.6</v>
      </c>
      <c r="HF105" s="39">
        <v>427.5</v>
      </c>
      <c r="HG105" s="39">
        <v>427.5</v>
      </c>
      <c r="HH105" s="39">
        <v>24113.9</v>
      </c>
      <c r="HI105" s="43">
        <v>23699.999</v>
      </c>
      <c r="HJ105" s="43">
        <v>0</v>
      </c>
      <c r="HK105" s="43">
        <v>0</v>
      </c>
      <c r="HL105" s="43">
        <v>0</v>
      </c>
      <c r="HM105" s="43">
        <v>0</v>
      </c>
      <c r="HN105" s="136"/>
      <c r="HO105" s="136"/>
      <c r="HP105" s="39">
        <f t="shared" si="78"/>
        <v>24541.4</v>
      </c>
      <c r="HQ105" s="39">
        <f t="shared" si="79"/>
        <v>24127.499</v>
      </c>
      <c r="HR105" s="39"/>
      <c r="HS105" s="39"/>
      <c r="HT105" s="39">
        <v>356</v>
      </c>
      <c r="HU105" s="43">
        <v>342.33</v>
      </c>
      <c r="HV105" s="39">
        <v>8.905</v>
      </c>
      <c r="HW105" s="39">
        <v>8.905</v>
      </c>
      <c r="HX105" s="39">
        <f t="shared" si="80"/>
        <v>364.905</v>
      </c>
      <c r="HY105" s="39">
        <f t="shared" si="81"/>
        <v>351.23499999999996</v>
      </c>
    </row>
    <row r="106" spans="1:233" ht="12.75" customHeight="1">
      <c r="A106" s="15" t="s">
        <v>128</v>
      </c>
      <c r="B106" s="34"/>
      <c r="C106" s="34"/>
      <c r="D106" s="39">
        <f>301+301+300+250+250+251+250+250+251+200.3+200.4+200.3</f>
        <v>3005.0000000000005</v>
      </c>
      <c r="E106" s="39">
        <f>301+301+300+250+250+251+250+250+251+200.3+200.4+200.3</f>
        <v>3005.0000000000005</v>
      </c>
      <c r="F106" s="34"/>
      <c r="G106" s="34"/>
      <c r="H106" s="34"/>
      <c r="I106" s="34"/>
      <c r="J106" s="34"/>
      <c r="K106" s="34"/>
      <c r="L106" s="39">
        <v>1800</v>
      </c>
      <c r="M106" s="39">
        <v>1800</v>
      </c>
      <c r="N106" s="39"/>
      <c r="O106" s="34"/>
      <c r="P106" s="51"/>
      <c r="Q106" s="51"/>
      <c r="R106" s="39">
        <v>26840</v>
      </c>
      <c r="S106" s="39">
        <f>25891.63161</f>
        <v>25891.63161</v>
      </c>
      <c r="T106" s="39">
        <v>2542.65223</v>
      </c>
      <c r="U106" s="39">
        <v>2542.65223</v>
      </c>
      <c r="V106" s="39"/>
      <c r="W106" s="39"/>
      <c r="X106" s="34"/>
      <c r="Y106" s="34"/>
      <c r="Z106" s="51"/>
      <c r="AA106" s="51"/>
      <c r="AB106" s="34"/>
      <c r="AC106" s="34"/>
      <c r="AD106" s="34"/>
      <c r="AE106" s="34"/>
      <c r="AF106" s="39"/>
      <c r="AG106" s="48"/>
      <c r="AH106" s="126">
        <f t="shared" si="65"/>
        <v>34187.65223</v>
      </c>
      <c r="AI106" s="126">
        <f t="shared" si="66"/>
        <v>33239.283840000004</v>
      </c>
      <c r="AJ106" s="43"/>
      <c r="AK106" s="43"/>
      <c r="AL106" s="134"/>
      <c r="AM106" s="41"/>
      <c r="AN106" s="41"/>
      <c r="AO106" s="41"/>
      <c r="AP106" s="41"/>
      <c r="AQ106" s="41"/>
      <c r="AR106" s="39"/>
      <c r="AS106" s="39"/>
      <c r="AT106" s="43"/>
      <c r="AU106" s="43"/>
      <c r="AV106" s="43"/>
      <c r="AW106" s="43"/>
      <c r="AX106" s="43"/>
      <c r="AY106" s="43"/>
      <c r="AZ106" s="39">
        <f t="shared" si="67"/>
        <v>0</v>
      </c>
      <c r="BA106" s="39">
        <f t="shared" si="61"/>
        <v>0</v>
      </c>
      <c r="BB106" s="39">
        <v>0</v>
      </c>
      <c r="BC106" s="39">
        <v>0</v>
      </c>
      <c r="BD106" s="39"/>
      <c r="BE106" s="43"/>
      <c r="BF106" s="43"/>
      <c r="BG106" s="43"/>
      <c r="BH106" s="43"/>
      <c r="BI106" s="43"/>
      <c r="BJ106" s="43"/>
      <c r="BK106" s="43"/>
      <c r="BL106" s="43"/>
      <c r="BM106" s="43"/>
      <c r="BN106" s="45"/>
      <c r="BO106" s="45"/>
      <c r="BP106" s="45"/>
      <c r="BQ106" s="45"/>
      <c r="BR106" s="43"/>
      <c r="BS106" s="43"/>
      <c r="BT106" s="43">
        <v>310.078</v>
      </c>
      <c r="BU106" s="43">
        <v>310.078</v>
      </c>
      <c r="BV106" s="43">
        <v>448.2</v>
      </c>
      <c r="BW106" s="43">
        <v>448.2</v>
      </c>
      <c r="BX106" s="43"/>
      <c r="BY106" s="45"/>
      <c r="BZ106" s="43"/>
      <c r="CA106" s="45"/>
      <c r="CB106" s="45"/>
      <c r="CC106" s="45"/>
      <c r="CD106" s="45"/>
      <c r="CE106" s="45"/>
      <c r="CF106" s="39">
        <f t="shared" si="68"/>
        <v>758.278</v>
      </c>
      <c r="CG106" s="39">
        <f t="shared" si="69"/>
        <v>758.278</v>
      </c>
      <c r="CH106" s="39">
        <v>10084.91589</v>
      </c>
      <c r="CI106" s="39">
        <v>10084.91589</v>
      </c>
      <c r="CJ106" s="39">
        <v>3220.3995099999997</v>
      </c>
      <c r="CK106" s="43">
        <v>3220.3995099999997</v>
      </c>
      <c r="CL106" s="43"/>
      <c r="CM106" s="43"/>
      <c r="CN106" s="43"/>
      <c r="CO106" s="43"/>
      <c r="CP106" s="43"/>
      <c r="CQ106" s="39"/>
      <c r="CR106" s="43"/>
      <c r="CS106" s="45"/>
      <c r="CT106" s="45"/>
      <c r="CU106" s="45"/>
      <c r="CV106" s="45"/>
      <c r="CW106" s="43"/>
      <c r="CX106" s="43"/>
      <c r="CY106" s="43"/>
      <c r="CZ106" s="39">
        <v>14.26</v>
      </c>
      <c r="DA106" s="39">
        <v>14.26</v>
      </c>
      <c r="DB106" s="43"/>
      <c r="DC106" s="43"/>
      <c r="DD106" s="43"/>
      <c r="DE106" s="43"/>
      <c r="DF106" s="39">
        <f t="shared" si="70"/>
        <v>13319.5754</v>
      </c>
      <c r="DG106" s="39">
        <f t="shared" si="71"/>
        <v>13319.5754</v>
      </c>
      <c r="DH106" s="39"/>
      <c r="DI106" s="39"/>
      <c r="DJ106" s="39">
        <v>0</v>
      </c>
      <c r="DK106" s="39">
        <f t="shared" si="62"/>
        <v>0</v>
      </c>
      <c r="DL106" s="39"/>
      <c r="DM106" s="39"/>
      <c r="DN106" s="43"/>
      <c r="DO106" s="43"/>
      <c r="DP106" s="39">
        <f t="shared" si="72"/>
        <v>0</v>
      </c>
      <c r="DQ106" s="39">
        <f t="shared" si="63"/>
        <v>0</v>
      </c>
      <c r="DR106" s="39"/>
      <c r="DS106" s="39"/>
      <c r="DT106" s="43"/>
      <c r="DU106" s="43"/>
      <c r="DV106" s="43"/>
      <c r="DW106" s="43"/>
      <c r="DX106" s="43"/>
      <c r="DY106" s="43"/>
      <c r="DZ106" s="39"/>
      <c r="EA106" s="39"/>
      <c r="EB106" s="43"/>
      <c r="EC106" s="43"/>
      <c r="ED106" s="43"/>
      <c r="EE106" s="43"/>
      <c r="EF106" s="39">
        <v>432</v>
      </c>
      <c r="EG106" s="43">
        <v>370.61302</v>
      </c>
      <c r="EH106" s="43">
        <v>3760</v>
      </c>
      <c r="EI106" s="39">
        <v>3760</v>
      </c>
      <c r="EJ106" s="39"/>
      <c r="EK106" s="43"/>
      <c r="EL106" s="43"/>
      <c r="EM106" s="43"/>
      <c r="EN106" s="45"/>
      <c r="EO106" s="45"/>
      <c r="EP106" s="43"/>
      <c r="EQ106" s="43"/>
      <c r="ER106" s="43"/>
      <c r="ES106" s="43"/>
      <c r="ET106" s="135"/>
      <c r="EU106" s="135"/>
      <c r="EV106" s="135"/>
      <c r="EW106" s="135"/>
      <c r="EX106" s="43"/>
      <c r="EY106" s="43"/>
      <c r="EZ106" s="43"/>
      <c r="FA106" s="43"/>
      <c r="FB106" s="37">
        <f t="shared" si="73"/>
        <v>4192</v>
      </c>
      <c r="FC106" s="37">
        <f t="shared" si="74"/>
        <v>4130.61302</v>
      </c>
      <c r="FD106" s="39"/>
      <c r="FE106" s="39"/>
      <c r="FF106" s="43"/>
      <c r="FG106" s="43"/>
      <c r="FH106" s="132">
        <f t="shared" si="75"/>
        <v>0</v>
      </c>
      <c r="FI106" s="132">
        <f t="shared" si="64"/>
        <v>0</v>
      </c>
      <c r="FJ106" s="39"/>
      <c r="FK106" s="39"/>
      <c r="FL106" s="43"/>
      <c r="FM106" s="43"/>
      <c r="FN106" s="43"/>
      <c r="FO106" s="43"/>
      <c r="FP106" s="43"/>
      <c r="FQ106" s="43"/>
      <c r="FR106" s="39"/>
      <c r="FS106" s="135"/>
      <c r="FT106" s="43"/>
      <c r="FU106" s="43"/>
      <c r="FV106" s="43"/>
      <c r="FW106" s="43"/>
      <c r="FX106" s="43"/>
      <c r="FY106" s="43"/>
      <c r="FZ106" s="43"/>
      <c r="GA106" s="43"/>
      <c r="GB106" s="43"/>
      <c r="GC106" s="43"/>
      <c r="GD106" s="135"/>
      <c r="GE106" s="135"/>
      <c r="GF106" s="43"/>
      <c r="GG106" s="43"/>
      <c r="GH106" s="43"/>
      <c r="GI106" s="43"/>
      <c r="GJ106" s="43"/>
      <c r="GK106" s="43"/>
      <c r="GL106" s="43"/>
      <c r="GM106" s="43"/>
      <c r="GN106" s="43"/>
      <c r="GO106" s="43"/>
      <c r="GP106" s="43"/>
      <c r="GQ106" s="43"/>
      <c r="GR106" s="43"/>
      <c r="GS106" s="43"/>
      <c r="GT106" s="43"/>
      <c r="GU106" s="43"/>
      <c r="GV106" s="43"/>
      <c r="GW106" s="43"/>
      <c r="GX106" s="45"/>
      <c r="GY106" s="45"/>
      <c r="GZ106" s="43"/>
      <c r="HA106" s="43"/>
      <c r="HB106" s="43"/>
      <c r="HC106" s="43"/>
      <c r="HD106" s="39">
        <f t="shared" si="76"/>
        <v>0</v>
      </c>
      <c r="HE106" s="39">
        <f t="shared" si="77"/>
        <v>0</v>
      </c>
      <c r="HF106" s="39"/>
      <c r="HG106" s="39"/>
      <c r="HH106" s="39"/>
      <c r="HI106" s="43"/>
      <c r="HJ106" s="43"/>
      <c r="HK106" s="43"/>
      <c r="HL106" s="43"/>
      <c r="HM106" s="43"/>
      <c r="HN106" s="136"/>
      <c r="HO106" s="136"/>
      <c r="HP106" s="39">
        <f t="shared" si="78"/>
        <v>0</v>
      </c>
      <c r="HQ106" s="39">
        <f t="shared" si="79"/>
        <v>0</v>
      </c>
      <c r="HR106" s="39"/>
      <c r="HS106" s="39"/>
      <c r="HT106" s="39"/>
      <c r="HU106" s="43"/>
      <c r="HV106" s="39"/>
      <c r="HW106" s="39"/>
      <c r="HX106" s="39">
        <f t="shared" si="80"/>
        <v>0</v>
      </c>
      <c r="HY106" s="39">
        <f t="shared" si="81"/>
        <v>0</v>
      </c>
    </row>
    <row r="107" spans="1:233" ht="12.75">
      <c r="A107" s="15" t="s">
        <v>215</v>
      </c>
      <c r="B107" s="34"/>
      <c r="C107" s="34"/>
      <c r="D107" s="39">
        <f>100+100+101+84+84+84+84+184.5+184.5</f>
        <v>1006</v>
      </c>
      <c r="E107" s="39">
        <f>100+100+101+84+84+84+84+184.5+184.5</f>
        <v>1006</v>
      </c>
      <c r="F107" s="34"/>
      <c r="G107" s="34"/>
      <c r="H107" s="34"/>
      <c r="I107" s="34"/>
      <c r="J107" s="34"/>
      <c r="K107" s="34"/>
      <c r="L107" s="39"/>
      <c r="M107" s="39"/>
      <c r="N107" s="39"/>
      <c r="O107" s="34"/>
      <c r="P107" s="51"/>
      <c r="Q107" s="51"/>
      <c r="R107" s="39">
        <v>440</v>
      </c>
      <c r="S107" s="39">
        <f>437.90756</f>
        <v>437.90756</v>
      </c>
      <c r="T107" s="39">
        <v>154.33316</v>
      </c>
      <c r="U107" s="39">
        <v>154.33316</v>
      </c>
      <c r="V107" s="39"/>
      <c r="W107" s="39"/>
      <c r="X107" s="34"/>
      <c r="Y107" s="34"/>
      <c r="Z107" s="51"/>
      <c r="AA107" s="51"/>
      <c r="AB107" s="34"/>
      <c r="AC107" s="34"/>
      <c r="AD107" s="34"/>
      <c r="AE107" s="34"/>
      <c r="AF107" s="39">
        <v>147</v>
      </c>
      <c r="AG107" s="39">
        <f>12.3+12.3+12.3+12.3+12.3+9.3+51.7+22.3+18.1-15.9</f>
        <v>147</v>
      </c>
      <c r="AH107" s="126">
        <f t="shared" si="65"/>
        <v>1747.33316</v>
      </c>
      <c r="AI107" s="126">
        <f t="shared" si="66"/>
        <v>1745.24072</v>
      </c>
      <c r="AJ107" s="43"/>
      <c r="AK107" s="43"/>
      <c r="AL107" s="134"/>
      <c r="AM107" s="41"/>
      <c r="AN107" s="41"/>
      <c r="AO107" s="41"/>
      <c r="AP107" s="41"/>
      <c r="AQ107" s="41"/>
      <c r="AR107" s="39"/>
      <c r="AS107" s="39"/>
      <c r="AT107" s="43"/>
      <c r="AU107" s="43"/>
      <c r="AV107" s="43"/>
      <c r="AW107" s="43"/>
      <c r="AX107" s="43"/>
      <c r="AY107" s="43"/>
      <c r="AZ107" s="39">
        <f t="shared" si="67"/>
        <v>0</v>
      </c>
      <c r="BA107" s="39">
        <f t="shared" si="61"/>
        <v>0</v>
      </c>
      <c r="BB107" s="39">
        <v>0</v>
      </c>
      <c r="BC107" s="39">
        <v>0</v>
      </c>
      <c r="BD107" s="39"/>
      <c r="BE107" s="43"/>
      <c r="BF107" s="43"/>
      <c r="BG107" s="43"/>
      <c r="BH107" s="43"/>
      <c r="BI107" s="43"/>
      <c r="BJ107" s="43"/>
      <c r="BK107" s="43"/>
      <c r="BL107" s="43"/>
      <c r="BM107" s="43"/>
      <c r="BN107" s="45"/>
      <c r="BO107" s="45"/>
      <c r="BP107" s="45"/>
      <c r="BQ107" s="45"/>
      <c r="BR107" s="43"/>
      <c r="BS107" s="43"/>
      <c r="BT107" s="43"/>
      <c r="BU107" s="43"/>
      <c r="BV107" s="45"/>
      <c r="BW107" s="45"/>
      <c r="BX107" s="43"/>
      <c r="BY107" s="45"/>
      <c r="BZ107" s="43"/>
      <c r="CA107" s="45"/>
      <c r="CB107" s="45"/>
      <c r="CC107" s="45"/>
      <c r="CD107" s="45"/>
      <c r="CE107" s="45"/>
      <c r="CF107" s="39">
        <f t="shared" si="68"/>
        <v>0</v>
      </c>
      <c r="CG107" s="39">
        <f t="shared" si="69"/>
        <v>0</v>
      </c>
      <c r="CH107" s="39"/>
      <c r="CI107" s="39"/>
      <c r="CJ107" s="39"/>
      <c r="CK107" s="45"/>
      <c r="CL107" s="45"/>
      <c r="CM107" s="43"/>
      <c r="CN107" s="43"/>
      <c r="CO107" s="43"/>
      <c r="CP107" s="43"/>
      <c r="CQ107" s="39"/>
      <c r="CR107" s="43"/>
      <c r="CS107" s="45"/>
      <c r="CT107" s="45"/>
      <c r="CU107" s="45"/>
      <c r="CV107" s="45"/>
      <c r="CW107" s="43"/>
      <c r="CX107" s="43"/>
      <c r="CY107" s="43"/>
      <c r="CZ107" s="39">
        <v>57.041</v>
      </c>
      <c r="DA107" s="39">
        <v>57.041</v>
      </c>
      <c r="DB107" s="43"/>
      <c r="DC107" s="43"/>
      <c r="DD107" s="43"/>
      <c r="DE107" s="43"/>
      <c r="DF107" s="39">
        <f t="shared" si="70"/>
        <v>57.041</v>
      </c>
      <c r="DG107" s="39">
        <f t="shared" si="71"/>
        <v>57.041</v>
      </c>
      <c r="DH107" s="39"/>
      <c r="DI107" s="39"/>
      <c r="DJ107" s="39">
        <v>0</v>
      </c>
      <c r="DK107" s="39">
        <f t="shared" si="62"/>
        <v>0</v>
      </c>
      <c r="DL107" s="39"/>
      <c r="DM107" s="39"/>
      <c r="DN107" s="43"/>
      <c r="DO107" s="43"/>
      <c r="DP107" s="39">
        <f t="shared" si="72"/>
        <v>0</v>
      </c>
      <c r="DQ107" s="39">
        <f t="shared" si="63"/>
        <v>0</v>
      </c>
      <c r="DR107" s="39"/>
      <c r="DS107" s="39"/>
      <c r="DT107" s="43"/>
      <c r="DU107" s="43"/>
      <c r="DV107" s="43"/>
      <c r="DW107" s="43"/>
      <c r="DX107" s="43"/>
      <c r="DY107" s="43"/>
      <c r="DZ107" s="39"/>
      <c r="EA107" s="39"/>
      <c r="EB107" s="43"/>
      <c r="EC107" s="43"/>
      <c r="ED107" s="43"/>
      <c r="EE107" s="43"/>
      <c r="EF107" s="39"/>
      <c r="EG107" s="43"/>
      <c r="EH107" s="43">
        <v>1217</v>
      </c>
      <c r="EI107" s="39">
        <v>1217</v>
      </c>
      <c r="EJ107" s="39"/>
      <c r="EK107" s="43"/>
      <c r="EL107" s="43"/>
      <c r="EM107" s="43"/>
      <c r="EN107" s="45"/>
      <c r="EO107" s="45"/>
      <c r="EP107" s="43"/>
      <c r="EQ107" s="43"/>
      <c r="ER107" s="43"/>
      <c r="ES107" s="43"/>
      <c r="ET107" s="135"/>
      <c r="EU107" s="135"/>
      <c r="EV107" s="135"/>
      <c r="EW107" s="135"/>
      <c r="EX107" s="43"/>
      <c r="EY107" s="43"/>
      <c r="EZ107" s="43"/>
      <c r="FA107" s="43"/>
      <c r="FB107" s="37">
        <f t="shared" si="73"/>
        <v>1217</v>
      </c>
      <c r="FC107" s="37">
        <f t="shared" si="74"/>
        <v>1217</v>
      </c>
      <c r="FD107" s="39"/>
      <c r="FE107" s="39"/>
      <c r="FF107" s="43"/>
      <c r="FG107" s="43"/>
      <c r="FH107" s="132">
        <f t="shared" si="75"/>
        <v>0</v>
      </c>
      <c r="FI107" s="132">
        <f t="shared" si="64"/>
        <v>0</v>
      </c>
      <c r="FJ107" s="39"/>
      <c r="FK107" s="39"/>
      <c r="FL107" s="43"/>
      <c r="FM107" s="43"/>
      <c r="FN107" s="43"/>
      <c r="FO107" s="43"/>
      <c r="FP107" s="43"/>
      <c r="FQ107" s="43"/>
      <c r="FR107" s="39"/>
      <c r="FS107" s="135"/>
      <c r="FT107" s="43"/>
      <c r="FU107" s="43"/>
      <c r="FV107" s="43"/>
      <c r="FW107" s="43"/>
      <c r="FX107" s="43"/>
      <c r="FY107" s="43"/>
      <c r="FZ107" s="43"/>
      <c r="GA107" s="43"/>
      <c r="GB107" s="43"/>
      <c r="GC107" s="43"/>
      <c r="GD107" s="135"/>
      <c r="GE107" s="135"/>
      <c r="GF107" s="43"/>
      <c r="GG107" s="43"/>
      <c r="GH107" s="43"/>
      <c r="GI107" s="43"/>
      <c r="GJ107" s="43"/>
      <c r="GK107" s="43"/>
      <c r="GL107" s="43"/>
      <c r="GM107" s="43"/>
      <c r="GN107" s="43"/>
      <c r="GO107" s="43"/>
      <c r="GP107" s="43"/>
      <c r="GQ107" s="43"/>
      <c r="GR107" s="43"/>
      <c r="GS107" s="43"/>
      <c r="GT107" s="43"/>
      <c r="GU107" s="43"/>
      <c r="GV107" s="43"/>
      <c r="GW107" s="43"/>
      <c r="GX107" s="45"/>
      <c r="GY107" s="45"/>
      <c r="GZ107" s="43"/>
      <c r="HA107" s="43"/>
      <c r="HB107" s="43"/>
      <c r="HC107" s="43"/>
      <c r="HD107" s="39">
        <f t="shared" si="76"/>
        <v>0</v>
      </c>
      <c r="HE107" s="39">
        <f t="shared" si="77"/>
        <v>0</v>
      </c>
      <c r="HF107" s="39"/>
      <c r="HG107" s="39"/>
      <c r="HH107" s="39"/>
      <c r="HI107" s="43"/>
      <c r="HJ107" s="43"/>
      <c r="HK107" s="43"/>
      <c r="HL107" s="43"/>
      <c r="HM107" s="43"/>
      <c r="HN107" s="136"/>
      <c r="HO107" s="136"/>
      <c r="HP107" s="39">
        <f t="shared" si="78"/>
        <v>0</v>
      </c>
      <c r="HQ107" s="39">
        <f t="shared" si="79"/>
        <v>0</v>
      </c>
      <c r="HR107" s="39"/>
      <c r="HS107" s="39"/>
      <c r="HT107" s="39"/>
      <c r="HU107" s="43"/>
      <c r="HV107" s="39"/>
      <c r="HW107" s="39"/>
      <c r="HX107" s="39">
        <f t="shared" si="80"/>
        <v>0</v>
      </c>
      <c r="HY107" s="39">
        <f t="shared" si="81"/>
        <v>0</v>
      </c>
    </row>
    <row r="108" spans="1:233" ht="12.75" customHeight="1">
      <c r="A108" s="15" t="s">
        <v>216</v>
      </c>
      <c r="B108" s="34"/>
      <c r="C108" s="34"/>
      <c r="D108" s="39">
        <f>93+93+92+77+77+77+77+77+77+61.7+61.7+61.6</f>
        <v>925.0000000000001</v>
      </c>
      <c r="E108" s="39">
        <f>93+93+92+77+77+77+77+77+77+61.7+61.7+61.6</f>
        <v>925.0000000000001</v>
      </c>
      <c r="F108" s="34"/>
      <c r="G108" s="34"/>
      <c r="H108" s="34"/>
      <c r="I108" s="34"/>
      <c r="J108" s="34"/>
      <c r="K108" s="34"/>
      <c r="L108" s="39">
        <v>1170</v>
      </c>
      <c r="M108" s="39">
        <v>1170</v>
      </c>
      <c r="N108" s="39"/>
      <c r="O108" s="34"/>
      <c r="P108" s="51"/>
      <c r="Q108" s="51"/>
      <c r="R108" s="39">
        <v>4550</v>
      </c>
      <c r="S108" s="39">
        <f>4465.73521</f>
        <v>4465.73521</v>
      </c>
      <c r="T108" s="39">
        <v>1689.92066</v>
      </c>
      <c r="U108" s="39">
        <f>818.15066+871.77</f>
        <v>1689.92066</v>
      </c>
      <c r="V108" s="39"/>
      <c r="W108" s="39"/>
      <c r="X108" s="34"/>
      <c r="Y108" s="34"/>
      <c r="Z108" s="51"/>
      <c r="AA108" s="51"/>
      <c r="AB108" s="34"/>
      <c r="AC108" s="34"/>
      <c r="AD108" s="34"/>
      <c r="AE108" s="34"/>
      <c r="AF108" s="39">
        <v>147</v>
      </c>
      <c r="AG108" s="39">
        <f>12.3+12.3+12.3+12.3+12.3+11+20+20+10+10+14.5</f>
        <v>147</v>
      </c>
      <c r="AH108" s="126">
        <f t="shared" si="65"/>
        <v>8481.92066</v>
      </c>
      <c r="AI108" s="126">
        <f t="shared" si="66"/>
        <v>8397.65587</v>
      </c>
      <c r="AJ108" s="43"/>
      <c r="AK108" s="43"/>
      <c r="AL108" s="134"/>
      <c r="AM108" s="41"/>
      <c r="AN108" s="41"/>
      <c r="AO108" s="41"/>
      <c r="AP108" s="41"/>
      <c r="AQ108" s="41"/>
      <c r="AR108" s="39"/>
      <c r="AS108" s="39"/>
      <c r="AT108" s="43"/>
      <c r="AU108" s="43"/>
      <c r="AV108" s="43"/>
      <c r="AW108" s="43"/>
      <c r="AX108" s="43"/>
      <c r="AY108" s="43"/>
      <c r="AZ108" s="39">
        <f t="shared" si="67"/>
        <v>0</v>
      </c>
      <c r="BA108" s="39">
        <f t="shared" si="61"/>
        <v>0</v>
      </c>
      <c r="BB108" s="39">
        <v>0</v>
      </c>
      <c r="BC108" s="39">
        <v>0</v>
      </c>
      <c r="BD108" s="39">
        <v>177.7</v>
      </c>
      <c r="BE108" s="43">
        <v>130.9</v>
      </c>
      <c r="BF108" s="43"/>
      <c r="BG108" s="43"/>
      <c r="BH108" s="43"/>
      <c r="BI108" s="43"/>
      <c r="BJ108" s="43"/>
      <c r="BK108" s="43"/>
      <c r="BL108" s="43"/>
      <c r="BM108" s="43"/>
      <c r="BN108" s="45"/>
      <c r="BO108" s="45"/>
      <c r="BP108" s="45"/>
      <c r="BQ108" s="45"/>
      <c r="BR108" s="43"/>
      <c r="BS108" s="43"/>
      <c r="BT108" s="43"/>
      <c r="BU108" s="43"/>
      <c r="BV108" s="45"/>
      <c r="BW108" s="45"/>
      <c r="BX108" s="43"/>
      <c r="BY108" s="45"/>
      <c r="BZ108" s="43"/>
      <c r="CA108" s="45"/>
      <c r="CB108" s="45"/>
      <c r="CC108" s="45"/>
      <c r="CD108" s="45"/>
      <c r="CE108" s="45"/>
      <c r="CF108" s="39">
        <f t="shared" si="68"/>
        <v>177.7</v>
      </c>
      <c r="CG108" s="39">
        <f t="shared" si="69"/>
        <v>130.9</v>
      </c>
      <c r="CH108" s="39"/>
      <c r="CI108" s="39"/>
      <c r="CJ108" s="39"/>
      <c r="CK108" s="45"/>
      <c r="CL108" s="45"/>
      <c r="CM108" s="43"/>
      <c r="CN108" s="43"/>
      <c r="CO108" s="43"/>
      <c r="CP108" s="43"/>
      <c r="CQ108" s="39"/>
      <c r="CR108" s="43"/>
      <c r="CS108" s="45"/>
      <c r="CT108" s="45"/>
      <c r="CU108" s="45"/>
      <c r="CV108" s="45"/>
      <c r="CW108" s="43"/>
      <c r="CX108" s="43"/>
      <c r="CY108" s="43"/>
      <c r="CZ108" s="39"/>
      <c r="DA108" s="45"/>
      <c r="DB108" s="43"/>
      <c r="DC108" s="43"/>
      <c r="DD108" s="43"/>
      <c r="DE108" s="43"/>
      <c r="DF108" s="39">
        <f t="shared" si="70"/>
        <v>0</v>
      </c>
      <c r="DG108" s="39">
        <f t="shared" si="71"/>
        <v>0</v>
      </c>
      <c r="DH108" s="39"/>
      <c r="DI108" s="39"/>
      <c r="DJ108" s="39">
        <v>0</v>
      </c>
      <c r="DK108" s="39">
        <f t="shared" si="62"/>
        <v>0</v>
      </c>
      <c r="DL108" s="39"/>
      <c r="DM108" s="39"/>
      <c r="DN108" s="43"/>
      <c r="DO108" s="43"/>
      <c r="DP108" s="39">
        <f t="shared" si="72"/>
        <v>0</v>
      </c>
      <c r="DQ108" s="39">
        <f t="shared" si="63"/>
        <v>0</v>
      </c>
      <c r="DR108" s="39"/>
      <c r="DS108" s="39"/>
      <c r="DT108" s="43"/>
      <c r="DU108" s="43"/>
      <c r="DV108" s="43"/>
      <c r="DW108" s="43"/>
      <c r="DX108" s="43"/>
      <c r="DY108" s="43"/>
      <c r="DZ108" s="39"/>
      <c r="EA108" s="39"/>
      <c r="EB108" s="43"/>
      <c r="EC108" s="43"/>
      <c r="ED108" s="43"/>
      <c r="EE108" s="43"/>
      <c r="EF108" s="39"/>
      <c r="EG108" s="43"/>
      <c r="EH108" s="43">
        <v>3999</v>
      </c>
      <c r="EI108" s="39">
        <v>3999</v>
      </c>
      <c r="EJ108" s="39"/>
      <c r="EK108" s="43"/>
      <c r="EL108" s="43"/>
      <c r="EM108" s="43"/>
      <c r="EN108" s="45"/>
      <c r="EO108" s="45"/>
      <c r="EP108" s="43"/>
      <c r="EQ108" s="43"/>
      <c r="ER108" s="43"/>
      <c r="ES108" s="43"/>
      <c r="ET108" s="135"/>
      <c r="EU108" s="135"/>
      <c r="EV108" s="135"/>
      <c r="EW108" s="135"/>
      <c r="EX108" s="43"/>
      <c r="EY108" s="43"/>
      <c r="EZ108" s="43"/>
      <c r="FA108" s="43"/>
      <c r="FB108" s="37">
        <f t="shared" si="73"/>
        <v>3999</v>
      </c>
      <c r="FC108" s="37">
        <f t="shared" si="74"/>
        <v>3999</v>
      </c>
      <c r="FD108" s="39"/>
      <c r="FE108" s="39"/>
      <c r="FF108" s="43"/>
      <c r="FG108" s="43"/>
      <c r="FH108" s="132">
        <f t="shared" si="75"/>
        <v>0</v>
      </c>
      <c r="FI108" s="132">
        <f t="shared" si="64"/>
        <v>0</v>
      </c>
      <c r="FJ108" s="39"/>
      <c r="FK108" s="39"/>
      <c r="FL108" s="43"/>
      <c r="FM108" s="43"/>
      <c r="FN108" s="43"/>
      <c r="FO108" s="43"/>
      <c r="FP108" s="43"/>
      <c r="FQ108" s="43"/>
      <c r="FR108" s="39"/>
      <c r="FS108" s="135"/>
      <c r="FT108" s="43"/>
      <c r="FU108" s="43"/>
      <c r="FV108" s="43"/>
      <c r="FW108" s="43"/>
      <c r="FX108" s="43"/>
      <c r="FY108" s="43"/>
      <c r="FZ108" s="43"/>
      <c r="GA108" s="43"/>
      <c r="GB108" s="43"/>
      <c r="GC108" s="43"/>
      <c r="GD108" s="135"/>
      <c r="GE108" s="135"/>
      <c r="GF108" s="43"/>
      <c r="GG108" s="43"/>
      <c r="GH108" s="43"/>
      <c r="GI108" s="43"/>
      <c r="GJ108" s="43"/>
      <c r="GK108" s="43"/>
      <c r="GL108" s="43"/>
      <c r="GM108" s="43"/>
      <c r="GN108" s="43"/>
      <c r="GO108" s="43"/>
      <c r="GP108" s="43"/>
      <c r="GQ108" s="43"/>
      <c r="GR108" s="43"/>
      <c r="GS108" s="43"/>
      <c r="GT108" s="43"/>
      <c r="GU108" s="43"/>
      <c r="GV108" s="43"/>
      <c r="GW108" s="43"/>
      <c r="GX108" s="45"/>
      <c r="GY108" s="45"/>
      <c r="GZ108" s="43"/>
      <c r="HA108" s="43"/>
      <c r="HB108" s="43"/>
      <c r="HC108" s="43"/>
      <c r="HD108" s="39">
        <f t="shared" si="76"/>
        <v>0</v>
      </c>
      <c r="HE108" s="39">
        <f t="shared" si="77"/>
        <v>0</v>
      </c>
      <c r="HF108" s="39"/>
      <c r="HG108" s="39"/>
      <c r="HH108" s="39"/>
      <c r="HI108" s="43"/>
      <c r="HJ108" s="43"/>
      <c r="HK108" s="43"/>
      <c r="HL108" s="43"/>
      <c r="HM108" s="43"/>
      <c r="HN108" s="136"/>
      <c r="HO108" s="136"/>
      <c r="HP108" s="39">
        <f t="shared" si="78"/>
        <v>0</v>
      </c>
      <c r="HQ108" s="39">
        <f t="shared" si="79"/>
        <v>0</v>
      </c>
      <c r="HR108" s="39"/>
      <c r="HS108" s="39"/>
      <c r="HT108" s="39"/>
      <c r="HU108" s="43"/>
      <c r="HV108" s="39"/>
      <c r="HW108" s="39"/>
      <c r="HX108" s="39">
        <f t="shared" si="80"/>
        <v>0</v>
      </c>
      <c r="HY108" s="39">
        <f t="shared" si="81"/>
        <v>0</v>
      </c>
    </row>
    <row r="109" spans="1:233" ht="12.75">
      <c r="A109" s="15" t="s">
        <v>217</v>
      </c>
      <c r="B109" s="34"/>
      <c r="C109" s="34"/>
      <c r="D109" s="39">
        <f>154+154+153+128+128+129+230.7+230.7+230.6</f>
        <v>1538</v>
      </c>
      <c r="E109" s="39">
        <f>154+154+153+128+128+129+230.7+230.7+230.6</f>
        <v>1538</v>
      </c>
      <c r="F109" s="34"/>
      <c r="G109" s="34"/>
      <c r="H109" s="34"/>
      <c r="I109" s="34"/>
      <c r="J109" s="34"/>
      <c r="K109" s="34"/>
      <c r="L109" s="39"/>
      <c r="M109" s="39"/>
      <c r="N109" s="39"/>
      <c r="O109" s="34"/>
      <c r="P109" s="51"/>
      <c r="Q109" s="51"/>
      <c r="R109" s="39">
        <v>3505</v>
      </c>
      <c r="S109" s="39">
        <f>3505</f>
        <v>3505</v>
      </c>
      <c r="T109" s="39">
        <v>1176.56443</v>
      </c>
      <c r="U109" s="39">
        <v>1176.56443</v>
      </c>
      <c r="V109" s="39"/>
      <c r="W109" s="39"/>
      <c r="X109" s="34"/>
      <c r="Y109" s="34"/>
      <c r="Z109" s="51"/>
      <c r="AA109" s="51"/>
      <c r="AB109" s="34"/>
      <c r="AC109" s="34"/>
      <c r="AD109" s="34"/>
      <c r="AE109" s="34"/>
      <c r="AF109" s="39">
        <v>293</v>
      </c>
      <c r="AG109" s="39">
        <f>24.4+24.4+24.4+24.4+24.4+4.9+10.2+24.5+30+27.966</f>
        <v>219.566</v>
      </c>
      <c r="AH109" s="126">
        <f t="shared" si="65"/>
        <v>6512.56443</v>
      </c>
      <c r="AI109" s="126">
        <f t="shared" si="66"/>
        <v>6439.13043</v>
      </c>
      <c r="AJ109" s="43"/>
      <c r="AK109" s="43"/>
      <c r="AL109" s="134"/>
      <c r="AM109" s="41"/>
      <c r="AN109" s="41"/>
      <c r="AO109" s="41"/>
      <c r="AP109" s="41"/>
      <c r="AQ109" s="41"/>
      <c r="AR109" s="39"/>
      <c r="AS109" s="39"/>
      <c r="AT109" s="43"/>
      <c r="AU109" s="43"/>
      <c r="AV109" s="43"/>
      <c r="AW109" s="43"/>
      <c r="AX109" s="43"/>
      <c r="AY109" s="43"/>
      <c r="AZ109" s="39">
        <f t="shared" si="67"/>
        <v>0</v>
      </c>
      <c r="BA109" s="39">
        <f t="shared" si="61"/>
        <v>0</v>
      </c>
      <c r="BB109" s="39">
        <v>0</v>
      </c>
      <c r="BC109" s="39">
        <v>0</v>
      </c>
      <c r="BD109" s="39"/>
      <c r="BE109" s="43"/>
      <c r="BF109" s="43"/>
      <c r="BG109" s="43"/>
      <c r="BH109" s="43"/>
      <c r="BI109" s="43"/>
      <c r="BJ109" s="43"/>
      <c r="BK109" s="43"/>
      <c r="BL109" s="43"/>
      <c r="BM109" s="43"/>
      <c r="BN109" s="45"/>
      <c r="BO109" s="45"/>
      <c r="BP109" s="45"/>
      <c r="BQ109" s="45"/>
      <c r="BR109" s="43"/>
      <c r="BS109" s="43"/>
      <c r="BT109" s="43">
        <v>241.7</v>
      </c>
      <c r="BU109" s="43">
        <v>241.7</v>
      </c>
      <c r="BV109" s="43">
        <v>263.9</v>
      </c>
      <c r="BW109" s="43">
        <v>263.9</v>
      </c>
      <c r="BX109" s="43"/>
      <c r="BY109" s="45"/>
      <c r="BZ109" s="43"/>
      <c r="CA109" s="45"/>
      <c r="CB109" s="45"/>
      <c r="CC109" s="45"/>
      <c r="CD109" s="45"/>
      <c r="CE109" s="45"/>
      <c r="CF109" s="39">
        <f t="shared" si="68"/>
        <v>505.59999999999997</v>
      </c>
      <c r="CG109" s="39">
        <f t="shared" si="69"/>
        <v>505.59999999999997</v>
      </c>
      <c r="CH109" s="39"/>
      <c r="CI109" s="39"/>
      <c r="CJ109" s="39"/>
      <c r="CK109" s="45"/>
      <c r="CL109" s="45"/>
      <c r="CM109" s="43"/>
      <c r="CN109" s="43"/>
      <c r="CO109" s="43"/>
      <c r="CP109" s="43"/>
      <c r="CQ109" s="39"/>
      <c r="CR109" s="43"/>
      <c r="CS109" s="45"/>
      <c r="CT109" s="45"/>
      <c r="CU109" s="45"/>
      <c r="CV109" s="45"/>
      <c r="CW109" s="43"/>
      <c r="CX109" s="43"/>
      <c r="CY109" s="43"/>
      <c r="CZ109" s="39">
        <v>85.561</v>
      </c>
      <c r="DA109" s="39">
        <v>85.561</v>
      </c>
      <c r="DB109" s="43"/>
      <c r="DC109" s="43"/>
      <c r="DD109" s="43"/>
      <c r="DE109" s="43"/>
      <c r="DF109" s="39">
        <f t="shared" si="70"/>
        <v>85.561</v>
      </c>
      <c r="DG109" s="39">
        <f t="shared" si="71"/>
        <v>85.561</v>
      </c>
      <c r="DH109" s="39"/>
      <c r="DI109" s="39"/>
      <c r="DJ109" s="39">
        <v>0</v>
      </c>
      <c r="DK109" s="39">
        <f t="shared" si="62"/>
        <v>0</v>
      </c>
      <c r="DL109" s="39"/>
      <c r="DM109" s="39"/>
      <c r="DN109" s="43"/>
      <c r="DO109" s="43"/>
      <c r="DP109" s="39">
        <f t="shared" si="72"/>
        <v>0</v>
      </c>
      <c r="DQ109" s="39">
        <f t="shared" si="63"/>
        <v>0</v>
      </c>
      <c r="DR109" s="39"/>
      <c r="DS109" s="39"/>
      <c r="DT109" s="43"/>
      <c r="DU109" s="43"/>
      <c r="DV109" s="43"/>
      <c r="DW109" s="43"/>
      <c r="DX109" s="43"/>
      <c r="DY109" s="43"/>
      <c r="DZ109" s="39"/>
      <c r="EA109" s="39"/>
      <c r="EB109" s="43"/>
      <c r="EC109" s="43"/>
      <c r="ED109" s="43"/>
      <c r="EE109" s="43"/>
      <c r="EF109" s="39">
        <v>664</v>
      </c>
      <c r="EG109" s="43">
        <v>664</v>
      </c>
      <c r="EH109" s="43">
        <v>1043.5</v>
      </c>
      <c r="EI109" s="39">
        <v>1043.5</v>
      </c>
      <c r="EJ109" s="39"/>
      <c r="EK109" s="43"/>
      <c r="EL109" s="43"/>
      <c r="EM109" s="43"/>
      <c r="EN109" s="45"/>
      <c r="EO109" s="45"/>
      <c r="EP109" s="43"/>
      <c r="EQ109" s="43"/>
      <c r="ER109" s="43"/>
      <c r="ES109" s="43"/>
      <c r="ET109" s="135"/>
      <c r="EU109" s="135"/>
      <c r="EV109" s="135">
        <v>6.7</v>
      </c>
      <c r="EW109" s="135">
        <v>6.7</v>
      </c>
      <c r="EX109" s="43"/>
      <c r="EY109" s="43"/>
      <c r="EZ109" s="43"/>
      <c r="FA109" s="43"/>
      <c r="FB109" s="37">
        <f t="shared" si="73"/>
        <v>1714.2</v>
      </c>
      <c r="FC109" s="37">
        <f t="shared" si="74"/>
        <v>1714.2</v>
      </c>
      <c r="FD109" s="39"/>
      <c r="FE109" s="39"/>
      <c r="FF109" s="43"/>
      <c r="FG109" s="43"/>
      <c r="FH109" s="132">
        <f t="shared" si="75"/>
        <v>0</v>
      </c>
      <c r="FI109" s="132">
        <f t="shared" si="64"/>
        <v>0</v>
      </c>
      <c r="FJ109" s="39"/>
      <c r="FK109" s="39"/>
      <c r="FL109" s="43"/>
      <c r="FM109" s="43"/>
      <c r="FN109" s="43"/>
      <c r="FO109" s="43"/>
      <c r="FP109" s="43"/>
      <c r="FQ109" s="43"/>
      <c r="FR109" s="39"/>
      <c r="FS109" s="135"/>
      <c r="FT109" s="43"/>
      <c r="FU109" s="43"/>
      <c r="FV109" s="43"/>
      <c r="FW109" s="43"/>
      <c r="FX109" s="43"/>
      <c r="FY109" s="43"/>
      <c r="FZ109" s="43"/>
      <c r="GA109" s="43"/>
      <c r="GB109" s="43"/>
      <c r="GC109" s="43"/>
      <c r="GD109" s="135"/>
      <c r="GE109" s="135"/>
      <c r="GF109" s="43"/>
      <c r="GG109" s="43"/>
      <c r="GH109" s="43"/>
      <c r="GI109" s="43"/>
      <c r="GJ109" s="43"/>
      <c r="GK109" s="43"/>
      <c r="GL109" s="43"/>
      <c r="GM109" s="43"/>
      <c r="GN109" s="43"/>
      <c r="GO109" s="43"/>
      <c r="GP109" s="43"/>
      <c r="GQ109" s="43"/>
      <c r="GR109" s="43"/>
      <c r="GS109" s="43"/>
      <c r="GT109" s="43"/>
      <c r="GU109" s="43"/>
      <c r="GV109" s="43"/>
      <c r="GW109" s="43"/>
      <c r="GX109" s="45"/>
      <c r="GY109" s="45"/>
      <c r="GZ109" s="43"/>
      <c r="HA109" s="43"/>
      <c r="HB109" s="43"/>
      <c r="HC109" s="43"/>
      <c r="HD109" s="39">
        <f t="shared" si="76"/>
        <v>0</v>
      </c>
      <c r="HE109" s="39">
        <f t="shared" si="77"/>
        <v>0</v>
      </c>
      <c r="HF109" s="39"/>
      <c r="HG109" s="39"/>
      <c r="HH109" s="39"/>
      <c r="HI109" s="43"/>
      <c r="HJ109" s="43"/>
      <c r="HK109" s="43"/>
      <c r="HL109" s="43"/>
      <c r="HM109" s="43"/>
      <c r="HN109" s="136"/>
      <c r="HO109" s="136"/>
      <c r="HP109" s="39">
        <f t="shared" si="78"/>
        <v>0</v>
      </c>
      <c r="HQ109" s="39">
        <f t="shared" si="79"/>
        <v>0</v>
      </c>
      <c r="HR109" s="39"/>
      <c r="HS109" s="39"/>
      <c r="HT109" s="39"/>
      <c r="HU109" s="43"/>
      <c r="HV109" s="39"/>
      <c r="HW109" s="39"/>
      <c r="HX109" s="39">
        <f t="shared" si="80"/>
        <v>0</v>
      </c>
      <c r="HY109" s="39">
        <f t="shared" si="81"/>
        <v>0</v>
      </c>
    </row>
    <row r="110" spans="1:233" ht="12.75" customHeight="1">
      <c r="A110" s="15" t="s">
        <v>218</v>
      </c>
      <c r="B110" s="34"/>
      <c r="C110" s="34"/>
      <c r="D110" s="39">
        <f>240+240+241+200+200+201+200+200+201+160.3+160.4+160.3</f>
        <v>2404.0000000000005</v>
      </c>
      <c r="E110" s="39">
        <f>240+240+241+200+200+201+200+200+201+160.3+160.4+160.3</f>
        <v>2404.0000000000005</v>
      </c>
      <c r="F110" s="34"/>
      <c r="G110" s="34"/>
      <c r="H110" s="34"/>
      <c r="I110" s="34"/>
      <c r="J110" s="34"/>
      <c r="K110" s="34"/>
      <c r="L110" s="39">
        <v>2030</v>
      </c>
      <c r="M110" s="39">
        <v>2030</v>
      </c>
      <c r="N110" s="39"/>
      <c r="O110" s="34"/>
      <c r="P110" s="51"/>
      <c r="Q110" s="51"/>
      <c r="R110" s="39"/>
      <c r="S110" s="39"/>
      <c r="T110" s="39">
        <v>0</v>
      </c>
      <c r="U110" s="39"/>
      <c r="V110" s="39"/>
      <c r="W110" s="39"/>
      <c r="X110" s="34"/>
      <c r="Y110" s="34"/>
      <c r="Z110" s="51"/>
      <c r="AA110" s="51"/>
      <c r="AB110" s="34"/>
      <c r="AC110" s="34"/>
      <c r="AD110" s="34"/>
      <c r="AE110" s="34"/>
      <c r="AF110" s="39">
        <v>439</v>
      </c>
      <c r="AG110" s="39">
        <f>33+33+33+33+33+27.2+51+12.2+41.7+42.7+35+64.2</f>
        <v>438.99999999999994</v>
      </c>
      <c r="AH110" s="126">
        <f t="shared" si="65"/>
        <v>4873</v>
      </c>
      <c r="AI110" s="126">
        <f t="shared" si="66"/>
        <v>4873</v>
      </c>
      <c r="AJ110" s="43"/>
      <c r="AK110" s="43"/>
      <c r="AL110" s="134"/>
      <c r="AM110" s="41"/>
      <c r="AN110" s="41"/>
      <c r="AO110" s="41"/>
      <c r="AP110" s="41"/>
      <c r="AQ110" s="41"/>
      <c r="AR110" s="39"/>
      <c r="AS110" s="39"/>
      <c r="AT110" s="43"/>
      <c r="AU110" s="43"/>
      <c r="AV110" s="43"/>
      <c r="AW110" s="43"/>
      <c r="AX110" s="43"/>
      <c r="AY110" s="43"/>
      <c r="AZ110" s="39">
        <f t="shared" si="67"/>
        <v>0</v>
      </c>
      <c r="BA110" s="39">
        <f t="shared" si="61"/>
        <v>0</v>
      </c>
      <c r="BB110" s="39">
        <v>0</v>
      </c>
      <c r="BC110" s="39">
        <v>0</v>
      </c>
      <c r="BD110" s="39"/>
      <c r="BE110" s="43"/>
      <c r="BF110" s="43"/>
      <c r="BG110" s="43"/>
      <c r="BH110" s="43"/>
      <c r="BI110" s="43"/>
      <c r="BJ110" s="43"/>
      <c r="BK110" s="43"/>
      <c r="BL110" s="43"/>
      <c r="BM110" s="43"/>
      <c r="BN110" s="45"/>
      <c r="BO110" s="45"/>
      <c r="BP110" s="45"/>
      <c r="BQ110" s="45"/>
      <c r="BR110" s="43"/>
      <c r="BS110" s="43"/>
      <c r="BT110" s="43">
        <v>503.3</v>
      </c>
      <c r="BU110" s="43">
        <v>503.3</v>
      </c>
      <c r="BV110" s="43">
        <v>575</v>
      </c>
      <c r="BW110" s="43">
        <v>575</v>
      </c>
      <c r="BX110" s="43"/>
      <c r="BY110" s="45"/>
      <c r="BZ110" s="43"/>
      <c r="CA110" s="45"/>
      <c r="CB110" s="45"/>
      <c r="CC110" s="45"/>
      <c r="CD110" s="45"/>
      <c r="CE110" s="45"/>
      <c r="CF110" s="39">
        <f t="shared" si="68"/>
        <v>1078.3</v>
      </c>
      <c r="CG110" s="39">
        <f t="shared" si="69"/>
        <v>1078.3</v>
      </c>
      <c r="CH110" s="39"/>
      <c r="CI110" s="39"/>
      <c r="CJ110" s="39"/>
      <c r="CK110" s="45"/>
      <c r="CL110" s="45"/>
      <c r="CM110" s="43"/>
      <c r="CN110" s="43"/>
      <c r="CO110" s="43"/>
      <c r="CP110" s="43"/>
      <c r="CQ110" s="39"/>
      <c r="CR110" s="43"/>
      <c r="CS110" s="45"/>
      <c r="CT110" s="45"/>
      <c r="CU110" s="45"/>
      <c r="CV110" s="45"/>
      <c r="CW110" s="43"/>
      <c r="CX110" s="43"/>
      <c r="CY110" s="43"/>
      <c r="CZ110" s="39">
        <v>128.342</v>
      </c>
      <c r="DA110" s="39">
        <v>128.342</v>
      </c>
      <c r="DB110" s="43"/>
      <c r="DC110" s="43"/>
      <c r="DD110" s="43"/>
      <c r="DE110" s="43"/>
      <c r="DF110" s="39">
        <f t="shared" si="70"/>
        <v>128.342</v>
      </c>
      <c r="DG110" s="39">
        <f t="shared" si="71"/>
        <v>128.342</v>
      </c>
      <c r="DH110" s="39"/>
      <c r="DI110" s="39"/>
      <c r="DJ110" s="39">
        <v>0</v>
      </c>
      <c r="DK110" s="39">
        <f t="shared" si="62"/>
        <v>0</v>
      </c>
      <c r="DL110" s="39"/>
      <c r="DM110" s="39"/>
      <c r="DN110" s="43"/>
      <c r="DO110" s="43"/>
      <c r="DP110" s="39">
        <f t="shared" si="72"/>
        <v>0</v>
      </c>
      <c r="DQ110" s="39">
        <f t="shared" si="63"/>
        <v>0</v>
      </c>
      <c r="DR110" s="39"/>
      <c r="DS110" s="39"/>
      <c r="DT110" s="43"/>
      <c r="DU110" s="43"/>
      <c r="DV110" s="43"/>
      <c r="DW110" s="43"/>
      <c r="DX110" s="43"/>
      <c r="DY110" s="43"/>
      <c r="DZ110" s="39"/>
      <c r="EA110" s="39"/>
      <c r="EB110" s="43"/>
      <c r="EC110" s="43"/>
      <c r="ED110" s="43"/>
      <c r="EE110" s="43"/>
      <c r="EF110" s="39"/>
      <c r="EG110" s="43"/>
      <c r="EH110" s="43">
        <v>564</v>
      </c>
      <c r="EI110" s="39">
        <v>564</v>
      </c>
      <c r="EJ110" s="39"/>
      <c r="EK110" s="43"/>
      <c r="EL110" s="43"/>
      <c r="EM110" s="43"/>
      <c r="EN110" s="45"/>
      <c r="EO110" s="45"/>
      <c r="EP110" s="43"/>
      <c r="EQ110" s="43"/>
      <c r="ER110" s="43"/>
      <c r="ES110" s="43"/>
      <c r="ET110" s="135"/>
      <c r="EU110" s="135"/>
      <c r="EV110" s="135"/>
      <c r="EW110" s="135"/>
      <c r="EX110" s="43"/>
      <c r="EY110" s="43"/>
      <c r="EZ110" s="43"/>
      <c r="FA110" s="43"/>
      <c r="FB110" s="37">
        <f t="shared" si="73"/>
        <v>564</v>
      </c>
      <c r="FC110" s="37">
        <f t="shared" si="74"/>
        <v>564</v>
      </c>
      <c r="FD110" s="39"/>
      <c r="FE110" s="39"/>
      <c r="FF110" s="43"/>
      <c r="FG110" s="43"/>
      <c r="FH110" s="132">
        <f t="shared" si="75"/>
        <v>0</v>
      </c>
      <c r="FI110" s="132">
        <f t="shared" si="64"/>
        <v>0</v>
      </c>
      <c r="FJ110" s="39"/>
      <c r="FK110" s="39"/>
      <c r="FL110" s="43"/>
      <c r="FM110" s="43"/>
      <c r="FN110" s="43"/>
      <c r="FO110" s="43"/>
      <c r="FP110" s="43"/>
      <c r="FQ110" s="43"/>
      <c r="FR110" s="39"/>
      <c r="FS110" s="135"/>
      <c r="FT110" s="43"/>
      <c r="FU110" s="43"/>
      <c r="FV110" s="43"/>
      <c r="FW110" s="43"/>
      <c r="FX110" s="43"/>
      <c r="FY110" s="43"/>
      <c r="FZ110" s="43"/>
      <c r="GA110" s="43"/>
      <c r="GB110" s="43"/>
      <c r="GC110" s="43"/>
      <c r="GD110" s="135"/>
      <c r="GE110" s="135"/>
      <c r="GF110" s="43"/>
      <c r="GG110" s="43"/>
      <c r="GH110" s="43"/>
      <c r="GI110" s="43"/>
      <c r="GJ110" s="43"/>
      <c r="GK110" s="43"/>
      <c r="GL110" s="43"/>
      <c r="GM110" s="43"/>
      <c r="GN110" s="43"/>
      <c r="GO110" s="43"/>
      <c r="GP110" s="43"/>
      <c r="GQ110" s="43"/>
      <c r="GR110" s="43"/>
      <c r="GS110" s="43"/>
      <c r="GT110" s="43"/>
      <c r="GU110" s="43"/>
      <c r="GV110" s="43"/>
      <c r="GW110" s="43"/>
      <c r="GX110" s="45"/>
      <c r="GY110" s="45"/>
      <c r="GZ110" s="43"/>
      <c r="HA110" s="43"/>
      <c r="HB110" s="43"/>
      <c r="HC110" s="43"/>
      <c r="HD110" s="39">
        <f t="shared" si="76"/>
        <v>0</v>
      </c>
      <c r="HE110" s="39">
        <f t="shared" si="77"/>
        <v>0</v>
      </c>
      <c r="HF110" s="39"/>
      <c r="HG110" s="39"/>
      <c r="HH110" s="39"/>
      <c r="HI110" s="43"/>
      <c r="HJ110" s="43"/>
      <c r="HK110" s="43"/>
      <c r="HL110" s="43"/>
      <c r="HM110" s="43"/>
      <c r="HN110" s="136"/>
      <c r="HO110" s="136"/>
      <c r="HP110" s="39">
        <f t="shared" si="78"/>
        <v>0</v>
      </c>
      <c r="HQ110" s="39">
        <f t="shared" si="79"/>
        <v>0</v>
      </c>
      <c r="HR110" s="39"/>
      <c r="HS110" s="39"/>
      <c r="HT110" s="39"/>
      <c r="HU110" s="43"/>
      <c r="HV110" s="39"/>
      <c r="HW110" s="39"/>
      <c r="HX110" s="39">
        <f t="shared" si="80"/>
        <v>0</v>
      </c>
      <c r="HY110" s="39">
        <f t="shared" si="81"/>
        <v>0</v>
      </c>
    </row>
    <row r="111" spans="1:233" ht="12.75">
      <c r="A111" s="15" t="s">
        <v>266</v>
      </c>
      <c r="B111" s="34"/>
      <c r="C111" s="34"/>
      <c r="D111" s="39">
        <f>453+453+452+377+377+378+377+377+378+302+302+302</f>
        <v>4528</v>
      </c>
      <c r="E111" s="39">
        <f>453+453+452+377+377+378+377+377+378+302+302+302</f>
        <v>4528</v>
      </c>
      <c r="F111" s="34"/>
      <c r="G111" s="34"/>
      <c r="H111" s="34"/>
      <c r="I111" s="34"/>
      <c r="J111" s="34"/>
      <c r="K111" s="34"/>
      <c r="L111" s="34"/>
      <c r="M111" s="34"/>
      <c r="N111" s="34"/>
      <c r="O111" s="34"/>
      <c r="P111" s="51"/>
      <c r="Q111" s="51"/>
      <c r="R111" s="39">
        <v>210</v>
      </c>
      <c r="S111" s="39">
        <f>209.51924</f>
        <v>209.51924</v>
      </c>
      <c r="T111" s="39">
        <v>71.39697</v>
      </c>
      <c r="U111" s="39">
        <v>71.39697</v>
      </c>
      <c r="V111" s="39">
        <v>172</v>
      </c>
      <c r="W111" s="39">
        <f>70+102</f>
        <v>172</v>
      </c>
      <c r="X111" s="34"/>
      <c r="Y111" s="34"/>
      <c r="Z111" s="51"/>
      <c r="AA111" s="51"/>
      <c r="AB111" s="34"/>
      <c r="AC111" s="34"/>
      <c r="AD111" s="34"/>
      <c r="AE111" s="34"/>
      <c r="AF111" s="39">
        <v>147</v>
      </c>
      <c r="AG111" s="39">
        <f>12.3+12.3+12.3+12.3+12.3+16+11.4+12.6+13.2+11.9+10+10.4</f>
        <v>147.00000000000003</v>
      </c>
      <c r="AH111" s="126">
        <f t="shared" si="65"/>
        <v>5128.39697</v>
      </c>
      <c r="AI111" s="126">
        <f aca="true" t="shared" si="98" ref="AI111:AI142">C111+E111+G111+I111+K111+M111+O111+Q111+S111+U111+W111+Y111+AA111+AC111+AE111+AG111</f>
        <v>5127.916209999999</v>
      </c>
      <c r="AJ111" s="43"/>
      <c r="AK111" s="43"/>
      <c r="AL111" s="134"/>
      <c r="AM111" s="41"/>
      <c r="AN111" s="41"/>
      <c r="AO111" s="41"/>
      <c r="AP111" s="41"/>
      <c r="AQ111" s="41"/>
      <c r="AR111" s="39"/>
      <c r="AS111" s="39"/>
      <c r="AT111" s="43"/>
      <c r="AU111" s="43"/>
      <c r="AV111" s="43"/>
      <c r="AW111" s="43"/>
      <c r="AX111" s="43"/>
      <c r="AY111" s="43"/>
      <c r="AZ111" s="39">
        <f t="shared" si="67"/>
        <v>0</v>
      </c>
      <c r="BA111" s="39">
        <f t="shared" si="61"/>
        <v>0</v>
      </c>
      <c r="BB111" s="39">
        <v>0</v>
      </c>
      <c r="BC111" s="39">
        <v>0</v>
      </c>
      <c r="BD111" s="39">
        <v>467</v>
      </c>
      <c r="BE111" s="43">
        <v>50.673</v>
      </c>
      <c r="BF111" s="43"/>
      <c r="BG111" s="43"/>
      <c r="BH111" s="43"/>
      <c r="BI111" s="43"/>
      <c r="BJ111" s="43"/>
      <c r="BK111" s="43"/>
      <c r="BL111" s="43"/>
      <c r="BM111" s="43"/>
      <c r="BN111" s="45"/>
      <c r="BO111" s="45"/>
      <c r="BP111" s="45"/>
      <c r="BQ111" s="45"/>
      <c r="BR111" s="43"/>
      <c r="BS111" s="43"/>
      <c r="BT111" s="43"/>
      <c r="BU111" s="43"/>
      <c r="BV111" s="45"/>
      <c r="BW111" s="45"/>
      <c r="BX111" s="43"/>
      <c r="BY111" s="45"/>
      <c r="BZ111" s="43"/>
      <c r="CA111" s="45"/>
      <c r="CB111" s="45"/>
      <c r="CC111" s="45"/>
      <c r="CD111" s="45"/>
      <c r="CE111" s="45"/>
      <c r="CF111" s="39">
        <f t="shared" si="68"/>
        <v>467</v>
      </c>
      <c r="CG111" s="39">
        <f aca="true" t="shared" si="99" ref="CG111:CG142">BE111+BG111+BI111+BK111+BM111+BO111+BQ111+BS111+BU111+BW111+BY111+CC111+CE111+CA111</f>
        <v>50.673</v>
      </c>
      <c r="CH111" s="39"/>
      <c r="CI111" s="39"/>
      <c r="CJ111" s="39"/>
      <c r="CK111" s="45"/>
      <c r="CL111" s="45"/>
      <c r="CM111" s="43"/>
      <c r="CN111" s="43"/>
      <c r="CO111" s="43"/>
      <c r="CP111" s="43"/>
      <c r="CQ111" s="39"/>
      <c r="CR111" s="43"/>
      <c r="CS111" s="45"/>
      <c r="CT111" s="45"/>
      <c r="CU111" s="45"/>
      <c r="CV111" s="45"/>
      <c r="CW111" s="43"/>
      <c r="CX111" s="43"/>
      <c r="CY111" s="43"/>
      <c r="CZ111" s="39"/>
      <c r="DA111" s="45"/>
      <c r="DB111" s="43"/>
      <c r="DC111" s="43"/>
      <c r="DD111" s="43"/>
      <c r="DE111" s="43"/>
      <c r="DF111" s="39">
        <f t="shared" si="70"/>
        <v>0</v>
      </c>
      <c r="DG111" s="39">
        <f aca="true" t="shared" si="100" ref="DG111:DG142">CI111+CK111+CM111+CO111+CQ111+CY111+DA111+CS111+CU111+CW111+DE111+DC111</f>
        <v>0</v>
      </c>
      <c r="DH111" s="39"/>
      <c r="DI111" s="39"/>
      <c r="DJ111" s="39">
        <v>0</v>
      </c>
      <c r="DK111" s="39">
        <f t="shared" si="62"/>
        <v>0</v>
      </c>
      <c r="DL111" s="39"/>
      <c r="DM111" s="39"/>
      <c r="DN111" s="43"/>
      <c r="DO111" s="43"/>
      <c r="DP111" s="39">
        <f t="shared" si="72"/>
        <v>0</v>
      </c>
      <c r="DQ111" s="39">
        <f t="shared" si="63"/>
        <v>0</v>
      </c>
      <c r="DR111" s="39"/>
      <c r="DS111" s="39"/>
      <c r="DT111" s="43"/>
      <c r="DU111" s="43"/>
      <c r="DV111" s="43"/>
      <c r="DW111" s="43"/>
      <c r="DX111" s="43"/>
      <c r="DY111" s="43"/>
      <c r="DZ111" s="39"/>
      <c r="EA111" s="39"/>
      <c r="EB111" s="43"/>
      <c r="EC111" s="43"/>
      <c r="ED111" s="43"/>
      <c r="EE111" s="43"/>
      <c r="EF111" s="39"/>
      <c r="EG111" s="43"/>
      <c r="EH111" s="43">
        <v>1379</v>
      </c>
      <c r="EI111" s="39">
        <v>1379</v>
      </c>
      <c r="EJ111" s="39"/>
      <c r="EK111" s="43"/>
      <c r="EL111" s="43"/>
      <c r="EM111" s="43"/>
      <c r="EN111" s="45"/>
      <c r="EO111" s="45"/>
      <c r="EP111" s="43"/>
      <c r="EQ111" s="43"/>
      <c r="ER111" s="43"/>
      <c r="ES111" s="43"/>
      <c r="ET111" s="135"/>
      <c r="EU111" s="135"/>
      <c r="EV111" s="135"/>
      <c r="EW111" s="135"/>
      <c r="EX111" s="43"/>
      <c r="EY111" s="43"/>
      <c r="EZ111" s="43"/>
      <c r="FA111" s="43"/>
      <c r="FB111" s="37">
        <f t="shared" si="73"/>
        <v>1379</v>
      </c>
      <c r="FC111" s="37">
        <f aca="true" t="shared" si="101" ref="FC111:FC142">DS111+DU111+DY111+EC111+DW111+EK111+EM111+EA111+EE111+EG111+EI111+EO111+EQ111+ES111+EU111+EW111+EY111+FA111</f>
        <v>1379</v>
      </c>
      <c r="FD111" s="39"/>
      <c r="FE111" s="39"/>
      <c r="FF111" s="43"/>
      <c r="FG111" s="43"/>
      <c r="FH111" s="132">
        <f t="shared" si="75"/>
        <v>0</v>
      </c>
      <c r="FI111" s="132">
        <f t="shared" si="64"/>
        <v>0</v>
      </c>
      <c r="FJ111" s="39"/>
      <c r="FK111" s="39"/>
      <c r="FL111" s="43"/>
      <c r="FM111" s="43"/>
      <c r="FN111" s="43"/>
      <c r="FO111" s="43"/>
      <c r="FP111" s="43"/>
      <c r="FQ111" s="43"/>
      <c r="FR111" s="39"/>
      <c r="FS111" s="135"/>
      <c r="FT111" s="43"/>
      <c r="FU111" s="43"/>
      <c r="FV111" s="43"/>
      <c r="FW111" s="43"/>
      <c r="FX111" s="43"/>
      <c r="FY111" s="43"/>
      <c r="FZ111" s="43"/>
      <c r="GA111" s="43"/>
      <c r="GB111" s="43"/>
      <c r="GC111" s="43"/>
      <c r="GD111" s="135"/>
      <c r="GE111" s="135"/>
      <c r="GF111" s="43"/>
      <c r="GG111" s="43"/>
      <c r="GH111" s="43"/>
      <c r="GI111" s="43"/>
      <c r="GJ111" s="43"/>
      <c r="GK111" s="43"/>
      <c r="GL111" s="43"/>
      <c r="GM111" s="43"/>
      <c r="GN111" s="43"/>
      <c r="GO111" s="43"/>
      <c r="GP111" s="43"/>
      <c r="GQ111" s="43"/>
      <c r="GR111" s="43"/>
      <c r="GS111" s="43"/>
      <c r="GT111" s="43"/>
      <c r="GU111" s="43"/>
      <c r="GV111" s="43"/>
      <c r="GW111" s="43"/>
      <c r="GX111" s="45"/>
      <c r="GY111" s="45"/>
      <c r="GZ111" s="43"/>
      <c r="HA111" s="43"/>
      <c r="HB111" s="43"/>
      <c r="HC111" s="43"/>
      <c r="HD111" s="39">
        <f t="shared" si="76"/>
        <v>0</v>
      </c>
      <c r="HE111" s="39">
        <f aca="true" t="shared" si="102" ref="HE111:HE142">FK111+FM111+FO111+FQ111+FS111+FU111+FW111+FY111+GA111+GC111+GE111+GG111+GI111+GK111+GQ111+GS111+GW111+GO111+GU111+GM111+GY111+HA111+HC111</f>
        <v>0</v>
      </c>
      <c r="HF111" s="39"/>
      <c r="HG111" s="39"/>
      <c r="HH111" s="39"/>
      <c r="HI111" s="43"/>
      <c r="HJ111" s="43"/>
      <c r="HK111" s="43"/>
      <c r="HL111" s="43"/>
      <c r="HM111" s="43"/>
      <c r="HN111" s="136"/>
      <c r="HO111" s="136"/>
      <c r="HP111" s="39">
        <f t="shared" si="78"/>
        <v>0</v>
      </c>
      <c r="HQ111" s="39">
        <f aca="true" t="shared" si="103" ref="HQ111:HQ142">HG111+HI111+HK111+HM111+HO111</f>
        <v>0</v>
      </c>
      <c r="HR111" s="39"/>
      <c r="HS111" s="39"/>
      <c r="HT111" s="39"/>
      <c r="HU111" s="43"/>
      <c r="HV111" s="39"/>
      <c r="HW111" s="39"/>
      <c r="HX111" s="39">
        <f t="shared" si="80"/>
        <v>0</v>
      </c>
      <c r="HY111" s="39">
        <f aca="true" t="shared" si="104" ref="HY111:HY142">HS111+HU111+HW111</f>
        <v>0</v>
      </c>
    </row>
    <row r="112" spans="1:233" ht="12.75" customHeight="1">
      <c r="A112" s="15" t="s">
        <v>267</v>
      </c>
      <c r="B112" s="34"/>
      <c r="C112" s="34"/>
      <c r="D112" s="39">
        <f>513+513+514+428+428+428+428+428+428+342.3+342.4+342.3</f>
        <v>5135</v>
      </c>
      <c r="E112" s="39">
        <f>513+513+514+428+428+428+428+428+428+342.3+342.4+342.3</f>
        <v>5135</v>
      </c>
      <c r="F112" s="34"/>
      <c r="G112" s="34"/>
      <c r="H112" s="34"/>
      <c r="I112" s="34"/>
      <c r="J112" s="34"/>
      <c r="K112" s="34"/>
      <c r="L112" s="34"/>
      <c r="M112" s="34"/>
      <c r="N112" s="34"/>
      <c r="O112" s="34"/>
      <c r="P112" s="51"/>
      <c r="Q112" s="51"/>
      <c r="R112" s="39"/>
      <c r="S112" s="39"/>
      <c r="T112" s="39"/>
      <c r="U112" s="39"/>
      <c r="V112" s="39"/>
      <c r="W112" s="34"/>
      <c r="X112" s="34"/>
      <c r="Y112" s="34"/>
      <c r="Z112" s="51"/>
      <c r="AA112" s="51"/>
      <c r="AB112" s="34"/>
      <c r="AC112" s="34"/>
      <c r="AD112" s="34"/>
      <c r="AE112" s="34"/>
      <c r="AF112" s="39">
        <v>147</v>
      </c>
      <c r="AG112" s="39">
        <f>12.3+12.3+12.3+12.3+12.3+8.3+11.4+11.4+12+42.4</f>
        <v>147</v>
      </c>
      <c r="AH112" s="126">
        <f t="shared" si="65"/>
        <v>5282</v>
      </c>
      <c r="AI112" s="126">
        <f t="shared" si="98"/>
        <v>5282</v>
      </c>
      <c r="AJ112" s="43"/>
      <c r="AK112" s="43"/>
      <c r="AL112" s="134"/>
      <c r="AM112" s="41"/>
      <c r="AN112" s="41"/>
      <c r="AO112" s="41"/>
      <c r="AP112" s="41"/>
      <c r="AQ112" s="41"/>
      <c r="AR112" s="39"/>
      <c r="AS112" s="39"/>
      <c r="AT112" s="43"/>
      <c r="AU112" s="43"/>
      <c r="AV112" s="43"/>
      <c r="AW112" s="43"/>
      <c r="AX112" s="43"/>
      <c r="AY112" s="43"/>
      <c r="AZ112" s="39">
        <f t="shared" si="67"/>
        <v>0</v>
      </c>
      <c r="BA112" s="39">
        <f t="shared" si="61"/>
        <v>0</v>
      </c>
      <c r="BB112" s="39">
        <v>0</v>
      </c>
      <c r="BC112" s="39">
        <v>0</v>
      </c>
      <c r="BD112" s="39">
        <v>400</v>
      </c>
      <c r="BE112" s="43"/>
      <c r="BF112" s="43"/>
      <c r="BG112" s="43"/>
      <c r="BH112" s="43"/>
      <c r="BI112" s="43"/>
      <c r="BJ112" s="43"/>
      <c r="BK112" s="43"/>
      <c r="BL112" s="43"/>
      <c r="BM112" s="43"/>
      <c r="BN112" s="45"/>
      <c r="BO112" s="45"/>
      <c r="BP112" s="45"/>
      <c r="BQ112" s="45"/>
      <c r="BR112" s="43"/>
      <c r="BS112" s="43"/>
      <c r="BT112" s="43"/>
      <c r="BU112" s="43"/>
      <c r="BV112" s="45"/>
      <c r="BW112" s="45"/>
      <c r="BX112" s="43"/>
      <c r="BY112" s="45"/>
      <c r="BZ112" s="43"/>
      <c r="CA112" s="45"/>
      <c r="CB112" s="45"/>
      <c r="CC112" s="45"/>
      <c r="CD112" s="45"/>
      <c r="CE112" s="45"/>
      <c r="CF112" s="39">
        <f t="shared" si="68"/>
        <v>400</v>
      </c>
      <c r="CG112" s="39">
        <f t="shared" si="99"/>
        <v>0</v>
      </c>
      <c r="CH112" s="39"/>
      <c r="CI112" s="39"/>
      <c r="CJ112" s="39"/>
      <c r="CK112" s="45"/>
      <c r="CL112" s="45"/>
      <c r="CM112" s="43"/>
      <c r="CN112" s="43"/>
      <c r="CO112" s="43"/>
      <c r="CP112" s="43"/>
      <c r="CQ112" s="39"/>
      <c r="CR112" s="43"/>
      <c r="CS112" s="45"/>
      <c r="CT112" s="45"/>
      <c r="CU112" s="45"/>
      <c r="CV112" s="45"/>
      <c r="CW112" s="43"/>
      <c r="CX112" s="43"/>
      <c r="CY112" s="43"/>
      <c r="CZ112" s="39"/>
      <c r="DA112" s="45"/>
      <c r="DB112" s="43"/>
      <c r="DC112" s="43"/>
      <c r="DD112" s="43"/>
      <c r="DE112" s="43"/>
      <c r="DF112" s="39">
        <f t="shared" si="70"/>
        <v>0</v>
      </c>
      <c r="DG112" s="39">
        <f t="shared" si="100"/>
        <v>0</v>
      </c>
      <c r="DH112" s="39"/>
      <c r="DI112" s="39"/>
      <c r="DJ112" s="39">
        <v>0</v>
      </c>
      <c r="DK112" s="39">
        <f t="shared" si="62"/>
        <v>0</v>
      </c>
      <c r="DL112" s="39"/>
      <c r="DM112" s="39"/>
      <c r="DN112" s="43"/>
      <c r="DO112" s="43"/>
      <c r="DP112" s="39">
        <f t="shared" si="72"/>
        <v>0</v>
      </c>
      <c r="DQ112" s="39">
        <f t="shared" si="63"/>
        <v>0</v>
      </c>
      <c r="DR112" s="39"/>
      <c r="DS112" s="39"/>
      <c r="DT112" s="43"/>
      <c r="DU112" s="43"/>
      <c r="DV112" s="43"/>
      <c r="DW112" s="43"/>
      <c r="DX112" s="43"/>
      <c r="DY112" s="43"/>
      <c r="DZ112" s="39"/>
      <c r="EA112" s="39"/>
      <c r="EB112" s="43"/>
      <c r="EC112" s="43"/>
      <c r="ED112" s="43"/>
      <c r="EE112" s="43"/>
      <c r="EF112" s="39"/>
      <c r="EG112" s="43"/>
      <c r="EH112" s="43">
        <v>0</v>
      </c>
      <c r="EI112" s="45"/>
      <c r="EJ112" s="39"/>
      <c r="EK112" s="43"/>
      <c r="EL112" s="43"/>
      <c r="EM112" s="43"/>
      <c r="EN112" s="45"/>
      <c r="EO112" s="45"/>
      <c r="EP112" s="43"/>
      <c r="EQ112" s="43"/>
      <c r="ER112" s="43"/>
      <c r="ES112" s="43"/>
      <c r="ET112" s="135"/>
      <c r="EU112" s="135"/>
      <c r="EV112" s="135"/>
      <c r="EW112" s="135"/>
      <c r="EX112" s="43"/>
      <c r="EY112" s="43"/>
      <c r="EZ112" s="43"/>
      <c r="FA112" s="43"/>
      <c r="FB112" s="37">
        <f t="shared" si="73"/>
        <v>0</v>
      </c>
      <c r="FC112" s="37">
        <f t="shared" si="101"/>
        <v>0</v>
      </c>
      <c r="FD112" s="39"/>
      <c r="FE112" s="39"/>
      <c r="FF112" s="43"/>
      <c r="FG112" s="43"/>
      <c r="FH112" s="132">
        <f t="shared" si="75"/>
        <v>0</v>
      </c>
      <c r="FI112" s="132">
        <f t="shared" si="64"/>
        <v>0</v>
      </c>
      <c r="FJ112" s="39"/>
      <c r="FK112" s="39"/>
      <c r="FL112" s="43"/>
      <c r="FM112" s="43"/>
      <c r="FN112" s="43"/>
      <c r="FO112" s="43"/>
      <c r="FP112" s="43"/>
      <c r="FQ112" s="43"/>
      <c r="FR112" s="39"/>
      <c r="FS112" s="135"/>
      <c r="FT112" s="43"/>
      <c r="FU112" s="43"/>
      <c r="FV112" s="43"/>
      <c r="FW112" s="43"/>
      <c r="FX112" s="43"/>
      <c r="FY112" s="43"/>
      <c r="FZ112" s="43"/>
      <c r="GA112" s="43"/>
      <c r="GB112" s="43"/>
      <c r="GC112" s="43"/>
      <c r="GD112" s="135"/>
      <c r="GE112" s="135"/>
      <c r="GF112" s="43"/>
      <c r="GG112" s="43"/>
      <c r="GH112" s="43"/>
      <c r="GI112" s="43"/>
      <c r="GJ112" s="43"/>
      <c r="GK112" s="43"/>
      <c r="GL112" s="43"/>
      <c r="GM112" s="43"/>
      <c r="GN112" s="43"/>
      <c r="GO112" s="43"/>
      <c r="GP112" s="43"/>
      <c r="GQ112" s="43"/>
      <c r="GR112" s="43"/>
      <c r="GS112" s="43"/>
      <c r="GT112" s="43"/>
      <c r="GU112" s="43"/>
      <c r="GV112" s="43"/>
      <c r="GW112" s="43"/>
      <c r="GX112" s="45"/>
      <c r="GY112" s="45"/>
      <c r="GZ112" s="43"/>
      <c r="HA112" s="43"/>
      <c r="HB112" s="43"/>
      <c r="HC112" s="43"/>
      <c r="HD112" s="39">
        <f t="shared" si="76"/>
        <v>0</v>
      </c>
      <c r="HE112" s="39">
        <f t="shared" si="102"/>
        <v>0</v>
      </c>
      <c r="HF112" s="39"/>
      <c r="HG112" s="39"/>
      <c r="HH112" s="39"/>
      <c r="HI112" s="43"/>
      <c r="HJ112" s="43"/>
      <c r="HK112" s="43"/>
      <c r="HL112" s="43"/>
      <c r="HM112" s="43"/>
      <c r="HN112" s="136"/>
      <c r="HO112" s="136"/>
      <c r="HP112" s="39">
        <f t="shared" si="78"/>
        <v>0</v>
      </c>
      <c r="HQ112" s="39">
        <f t="shared" si="103"/>
        <v>0</v>
      </c>
      <c r="HR112" s="39"/>
      <c r="HS112" s="39"/>
      <c r="HT112" s="39"/>
      <c r="HU112" s="43"/>
      <c r="HV112" s="39"/>
      <c r="HW112" s="39"/>
      <c r="HX112" s="39">
        <f t="shared" si="80"/>
        <v>0</v>
      </c>
      <c r="HY112" s="39">
        <f t="shared" si="104"/>
        <v>0</v>
      </c>
    </row>
    <row r="113" spans="1:233" ht="12.75">
      <c r="A113" s="15" t="s">
        <v>268</v>
      </c>
      <c r="B113" s="34"/>
      <c r="C113" s="34"/>
      <c r="D113" s="39">
        <f>701+701+700+584+584+584+1051+1051+1051</f>
        <v>7007</v>
      </c>
      <c r="E113" s="39">
        <f>701+701+700+584+584+584+1051+1051+1051</f>
        <v>7007</v>
      </c>
      <c r="F113" s="34"/>
      <c r="G113" s="34"/>
      <c r="H113" s="34"/>
      <c r="I113" s="34"/>
      <c r="J113" s="34"/>
      <c r="K113" s="34"/>
      <c r="L113" s="34"/>
      <c r="M113" s="34"/>
      <c r="N113" s="34"/>
      <c r="O113" s="34"/>
      <c r="P113" s="51"/>
      <c r="Q113" s="51"/>
      <c r="R113" s="39"/>
      <c r="S113" s="39"/>
      <c r="T113" s="39"/>
      <c r="U113" s="39"/>
      <c r="V113" s="39"/>
      <c r="W113" s="34"/>
      <c r="X113" s="34"/>
      <c r="Y113" s="34"/>
      <c r="Z113" s="51"/>
      <c r="AA113" s="51"/>
      <c r="AB113" s="34"/>
      <c r="AC113" s="34"/>
      <c r="AD113" s="34"/>
      <c r="AE113" s="34"/>
      <c r="AF113" s="39">
        <v>147</v>
      </c>
      <c r="AG113" s="39">
        <f>12.3+12.3+12.3+12.3+12.3+29.4+11.3+12+9.60044</f>
        <v>123.80044000000001</v>
      </c>
      <c r="AH113" s="126">
        <f t="shared" si="65"/>
        <v>7154</v>
      </c>
      <c r="AI113" s="126">
        <f t="shared" si="98"/>
        <v>7130.80044</v>
      </c>
      <c r="AJ113" s="43"/>
      <c r="AK113" s="43"/>
      <c r="AL113" s="134"/>
      <c r="AM113" s="41"/>
      <c r="AN113" s="41"/>
      <c r="AO113" s="41"/>
      <c r="AP113" s="41"/>
      <c r="AQ113" s="41"/>
      <c r="AR113" s="39"/>
      <c r="AS113" s="39"/>
      <c r="AT113" s="43"/>
      <c r="AU113" s="43"/>
      <c r="AV113" s="43"/>
      <c r="AW113" s="43"/>
      <c r="AX113" s="43"/>
      <c r="AY113" s="43"/>
      <c r="AZ113" s="39">
        <f t="shared" si="67"/>
        <v>0</v>
      </c>
      <c r="BA113" s="39">
        <f t="shared" si="61"/>
        <v>0</v>
      </c>
      <c r="BB113" s="39">
        <v>0</v>
      </c>
      <c r="BC113" s="39">
        <v>0</v>
      </c>
      <c r="BD113" s="39"/>
      <c r="BE113" s="43"/>
      <c r="BF113" s="43"/>
      <c r="BG113" s="43"/>
      <c r="BH113" s="43"/>
      <c r="BI113" s="43"/>
      <c r="BJ113" s="43"/>
      <c r="BK113" s="43"/>
      <c r="BL113" s="43"/>
      <c r="BM113" s="43"/>
      <c r="BN113" s="45"/>
      <c r="BO113" s="45"/>
      <c r="BP113" s="45"/>
      <c r="BQ113" s="45"/>
      <c r="BR113" s="43"/>
      <c r="BS113" s="43"/>
      <c r="BT113" s="43"/>
      <c r="BU113" s="43"/>
      <c r="BV113" s="45"/>
      <c r="BW113" s="45"/>
      <c r="BX113" s="43"/>
      <c r="BY113" s="45"/>
      <c r="BZ113" s="43"/>
      <c r="CA113" s="45"/>
      <c r="CB113" s="45"/>
      <c r="CC113" s="45"/>
      <c r="CD113" s="45"/>
      <c r="CE113" s="45"/>
      <c r="CF113" s="39">
        <f t="shared" si="68"/>
        <v>0</v>
      </c>
      <c r="CG113" s="39">
        <f t="shared" si="99"/>
        <v>0</v>
      </c>
      <c r="CH113" s="39"/>
      <c r="CI113" s="39"/>
      <c r="CJ113" s="39"/>
      <c r="CK113" s="45"/>
      <c r="CL113" s="45"/>
      <c r="CM113" s="43"/>
      <c r="CN113" s="43"/>
      <c r="CO113" s="43"/>
      <c r="CP113" s="43"/>
      <c r="CQ113" s="39"/>
      <c r="CR113" s="43"/>
      <c r="CS113" s="45"/>
      <c r="CT113" s="45"/>
      <c r="CU113" s="45"/>
      <c r="CV113" s="45"/>
      <c r="CW113" s="43"/>
      <c r="CX113" s="43"/>
      <c r="CY113" s="43"/>
      <c r="CZ113" s="39"/>
      <c r="DA113" s="45"/>
      <c r="DB113" s="43"/>
      <c r="DC113" s="43"/>
      <c r="DD113" s="43"/>
      <c r="DE113" s="43"/>
      <c r="DF113" s="39">
        <f t="shared" si="70"/>
        <v>0</v>
      </c>
      <c r="DG113" s="39">
        <f t="shared" si="100"/>
        <v>0</v>
      </c>
      <c r="DH113" s="39"/>
      <c r="DI113" s="39"/>
      <c r="DJ113" s="39">
        <v>0</v>
      </c>
      <c r="DK113" s="39">
        <f t="shared" si="62"/>
        <v>0</v>
      </c>
      <c r="DL113" s="39"/>
      <c r="DM113" s="39"/>
      <c r="DN113" s="43"/>
      <c r="DO113" s="43"/>
      <c r="DP113" s="39">
        <f t="shared" si="72"/>
        <v>0</v>
      </c>
      <c r="DQ113" s="39">
        <f t="shared" si="63"/>
        <v>0</v>
      </c>
      <c r="DR113" s="39"/>
      <c r="DS113" s="39"/>
      <c r="DT113" s="43"/>
      <c r="DU113" s="43"/>
      <c r="DV113" s="43"/>
      <c r="DW113" s="43"/>
      <c r="DX113" s="43"/>
      <c r="DY113" s="43"/>
      <c r="DZ113" s="39"/>
      <c r="EA113" s="39"/>
      <c r="EB113" s="43"/>
      <c r="EC113" s="43"/>
      <c r="ED113" s="43"/>
      <c r="EE113" s="43"/>
      <c r="EF113" s="39"/>
      <c r="EG113" s="43"/>
      <c r="EH113" s="43">
        <v>0</v>
      </c>
      <c r="EI113" s="45"/>
      <c r="EJ113" s="39"/>
      <c r="EK113" s="43"/>
      <c r="EL113" s="43"/>
      <c r="EM113" s="43"/>
      <c r="EN113" s="45"/>
      <c r="EO113" s="45"/>
      <c r="EP113" s="43"/>
      <c r="EQ113" s="43"/>
      <c r="ER113" s="43"/>
      <c r="ES113" s="43"/>
      <c r="ET113" s="135"/>
      <c r="EU113" s="135"/>
      <c r="EV113" s="135"/>
      <c r="EW113" s="135"/>
      <c r="EX113" s="43"/>
      <c r="EY113" s="43"/>
      <c r="EZ113" s="43"/>
      <c r="FA113" s="43"/>
      <c r="FB113" s="37">
        <f t="shared" si="73"/>
        <v>0</v>
      </c>
      <c r="FC113" s="37">
        <f t="shared" si="101"/>
        <v>0</v>
      </c>
      <c r="FD113" s="39"/>
      <c r="FE113" s="39"/>
      <c r="FF113" s="43"/>
      <c r="FG113" s="43"/>
      <c r="FH113" s="132">
        <f t="shared" si="75"/>
        <v>0</v>
      </c>
      <c r="FI113" s="132">
        <f t="shared" si="64"/>
        <v>0</v>
      </c>
      <c r="FJ113" s="39"/>
      <c r="FK113" s="39"/>
      <c r="FL113" s="43"/>
      <c r="FM113" s="43"/>
      <c r="FN113" s="43"/>
      <c r="FO113" s="43"/>
      <c r="FP113" s="43"/>
      <c r="FQ113" s="43"/>
      <c r="FR113" s="39"/>
      <c r="FS113" s="135"/>
      <c r="FT113" s="43"/>
      <c r="FU113" s="43"/>
      <c r="FV113" s="43"/>
      <c r="FW113" s="43"/>
      <c r="FX113" s="43"/>
      <c r="FY113" s="43"/>
      <c r="FZ113" s="43"/>
      <c r="GA113" s="43"/>
      <c r="GB113" s="43"/>
      <c r="GC113" s="43"/>
      <c r="GD113" s="135"/>
      <c r="GE113" s="135"/>
      <c r="GF113" s="43"/>
      <c r="GG113" s="43"/>
      <c r="GH113" s="43"/>
      <c r="GI113" s="43"/>
      <c r="GJ113" s="43"/>
      <c r="GK113" s="43"/>
      <c r="GL113" s="43"/>
      <c r="GM113" s="43"/>
      <c r="GN113" s="43"/>
      <c r="GO113" s="43"/>
      <c r="GP113" s="43"/>
      <c r="GQ113" s="43"/>
      <c r="GR113" s="43"/>
      <c r="GS113" s="43"/>
      <c r="GT113" s="43"/>
      <c r="GU113" s="43"/>
      <c r="GV113" s="43"/>
      <c r="GW113" s="43"/>
      <c r="GX113" s="45"/>
      <c r="GY113" s="45"/>
      <c r="GZ113" s="43"/>
      <c r="HA113" s="43"/>
      <c r="HB113" s="43"/>
      <c r="HC113" s="43"/>
      <c r="HD113" s="39">
        <f t="shared" si="76"/>
        <v>0</v>
      </c>
      <c r="HE113" s="39">
        <f t="shared" si="102"/>
        <v>0</v>
      </c>
      <c r="HF113" s="39"/>
      <c r="HG113" s="39"/>
      <c r="HH113" s="39"/>
      <c r="HI113" s="43"/>
      <c r="HJ113" s="43"/>
      <c r="HK113" s="43"/>
      <c r="HL113" s="43"/>
      <c r="HM113" s="43"/>
      <c r="HN113" s="136"/>
      <c r="HO113" s="136"/>
      <c r="HP113" s="39">
        <f t="shared" si="78"/>
        <v>0</v>
      </c>
      <c r="HQ113" s="39">
        <f t="shared" si="103"/>
        <v>0</v>
      </c>
      <c r="HR113" s="39"/>
      <c r="HS113" s="39"/>
      <c r="HT113" s="39"/>
      <c r="HU113" s="43"/>
      <c r="HV113" s="39"/>
      <c r="HW113" s="39"/>
      <c r="HX113" s="39">
        <f t="shared" si="80"/>
        <v>0</v>
      </c>
      <c r="HY113" s="39">
        <f t="shared" si="104"/>
        <v>0</v>
      </c>
    </row>
    <row r="114" spans="1:233" ht="12.75" customHeight="1">
      <c r="A114" s="13" t="s">
        <v>127</v>
      </c>
      <c r="B114" s="39">
        <f>SUM(B115:B120)</f>
        <v>34880</v>
      </c>
      <c r="C114" s="39">
        <f aca="true" t="shared" si="105" ref="C114:BN114">SUM(C115:C120)</f>
        <v>34880</v>
      </c>
      <c r="D114" s="39">
        <f t="shared" si="105"/>
        <v>13732</v>
      </c>
      <c r="E114" s="39">
        <f t="shared" si="105"/>
        <v>13732</v>
      </c>
      <c r="F114" s="39">
        <f t="shared" si="105"/>
        <v>63223.00000000001</v>
      </c>
      <c r="G114" s="39">
        <f t="shared" si="105"/>
        <v>63223.00000000001</v>
      </c>
      <c r="H114" s="39">
        <f t="shared" si="105"/>
        <v>0</v>
      </c>
      <c r="I114" s="39">
        <f t="shared" si="105"/>
        <v>0</v>
      </c>
      <c r="J114" s="39">
        <f t="shared" si="105"/>
        <v>1583.3</v>
      </c>
      <c r="K114" s="39">
        <f t="shared" si="105"/>
        <v>1583.3</v>
      </c>
      <c r="L114" s="39">
        <f t="shared" si="105"/>
        <v>0</v>
      </c>
      <c r="M114" s="39">
        <f t="shared" si="105"/>
        <v>0</v>
      </c>
      <c r="N114" s="39">
        <f t="shared" si="105"/>
        <v>0</v>
      </c>
      <c r="O114" s="39">
        <f t="shared" si="105"/>
        <v>0</v>
      </c>
      <c r="P114" s="39">
        <f t="shared" si="105"/>
        <v>0</v>
      </c>
      <c r="Q114" s="39">
        <f t="shared" si="105"/>
        <v>0</v>
      </c>
      <c r="R114" s="39">
        <f t="shared" si="105"/>
        <v>20</v>
      </c>
      <c r="S114" s="39">
        <f t="shared" si="105"/>
        <v>17.57611</v>
      </c>
      <c r="T114" s="39">
        <f t="shared" si="105"/>
        <v>154.11189000000002</v>
      </c>
      <c r="U114" s="39">
        <f t="shared" si="105"/>
        <v>154.11189</v>
      </c>
      <c r="V114" s="39">
        <f t="shared" si="105"/>
        <v>331</v>
      </c>
      <c r="W114" s="39">
        <f t="shared" si="105"/>
        <v>331</v>
      </c>
      <c r="X114" s="39">
        <f t="shared" si="105"/>
        <v>0</v>
      </c>
      <c r="Y114" s="39">
        <f t="shared" si="105"/>
        <v>0</v>
      </c>
      <c r="Z114" s="39">
        <f t="shared" si="105"/>
        <v>9500</v>
      </c>
      <c r="AA114" s="39">
        <f t="shared" si="105"/>
        <v>9500</v>
      </c>
      <c r="AB114" s="39">
        <f t="shared" si="105"/>
        <v>10375</v>
      </c>
      <c r="AC114" s="39">
        <f t="shared" si="105"/>
        <v>10375</v>
      </c>
      <c r="AD114" s="39">
        <f t="shared" si="105"/>
        <v>2033</v>
      </c>
      <c r="AE114" s="39">
        <f t="shared" si="105"/>
        <v>2033</v>
      </c>
      <c r="AF114" s="39">
        <f t="shared" si="105"/>
        <v>514</v>
      </c>
      <c r="AG114" s="39">
        <f t="shared" si="105"/>
        <v>514</v>
      </c>
      <c r="AH114" s="39">
        <f t="shared" si="105"/>
        <v>136345.41189000002</v>
      </c>
      <c r="AI114" s="39">
        <f t="shared" si="105"/>
        <v>136342.988</v>
      </c>
      <c r="AJ114" s="39">
        <f t="shared" si="105"/>
        <v>317.5</v>
      </c>
      <c r="AK114" s="39">
        <f t="shared" si="105"/>
        <v>317.5</v>
      </c>
      <c r="AL114" s="39">
        <f t="shared" si="105"/>
        <v>0</v>
      </c>
      <c r="AM114" s="39">
        <f t="shared" si="105"/>
        <v>0</v>
      </c>
      <c r="AN114" s="39">
        <f t="shared" si="105"/>
        <v>0</v>
      </c>
      <c r="AO114" s="39">
        <f t="shared" si="105"/>
        <v>0</v>
      </c>
      <c r="AP114" s="39">
        <f t="shared" si="105"/>
        <v>0</v>
      </c>
      <c r="AQ114" s="39">
        <f t="shared" si="105"/>
        <v>0</v>
      </c>
      <c r="AR114" s="39">
        <f t="shared" si="105"/>
        <v>0</v>
      </c>
      <c r="AS114" s="39">
        <f t="shared" si="105"/>
        <v>0</v>
      </c>
      <c r="AT114" s="39">
        <f t="shared" si="105"/>
        <v>0</v>
      </c>
      <c r="AU114" s="39">
        <f t="shared" si="105"/>
        <v>0</v>
      </c>
      <c r="AV114" s="39">
        <f t="shared" si="105"/>
        <v>0</v>
      </c>
      <c r="AW114" s="39">
        <f t="shared" si="105"/>
        <v>0</v>
      </c>
      <c r="AX114" s="39">
        <f t="shared" si="105"/>
        <v>0</v>
      </c>
      <c r="AY114" s="39">
        <f t="shared" si="105"/>
        <v>0</v>
      </c>
      <c r="AZ114" s="39">
        <f t="shared" si="105"/>
        <v>317.5</v>
      </c>
      <c r="BA114" s="39">
        <f t="shared" si="105"/>
        <v>317.5</v>
      </c>
      <c r="BB114" s="39">
        <f t="shared" si="105"/>
        <v>1177</v>
      </c>
      <c r="BC114" s="39">
        <f t="shared" si="105"/>
        <v>1177</v>
      </c>
      <c r="BD114" s="39">
        <f t="shared" si="105"/>
        <v>708.78</v>
      </c>
      <c r="BE114" s="39">
        <f t="shared" si="105"/>
        <v>490.157</v>
      </c>
      <c r="BF114" s="39">
        <f t="shared" si="105"/>
        <v>0</v>
      </c>
      <c r="BG114" s="39">
        <f t="shared" si="105"/>
        <v>0</v>
      </c>
      <c r="BH114" s="39">
        <f t="shared" si="105"/>
        <v>0</v>
      </c>
      <c r="BI114" s="39">
        <f t="shared" si="105"/>
        <v>0</v>
      </c>
      <c r="BJ114" s="39">
        <f t="shared" si="105"/>
        <v>4689</v>
      </c>
      <c r="BK114" s="39">
        <f t="shared" si="105"/>
        <v>4689</v>
      </c>
      <c r="BL114" s="39">
        <f t="shared" si="105"/>
        <v>6175</v>
      </c>
      <c r="BM114" s="39">
        <f t="shared" si="105"/>
        <v>3734</v>
      </c>
      <c r="BN114" s="39">
        <f t="shared" si="105"/>
        <v>0</v>
      </c>
      <c r="BO114" s="39">
        <f aca="true" t="shared" si="106" ref="BO114:DZ114">SUM(BO115:BO120)</f>
        <v>0</v>
      </c>
      <c r="BP114" s="39">
        <f t="shared" si="106"/>
        <v>0</v>
      </c>
      <c r="BQ114" s="39">
        <f t="shared" si="106"/>
        <v>0</v>
      </c>
      <c r="BR114" s="39">
        <f t="shared" si="106"/>
        <v>0</v>
      </c>
      <c r="BS114" s="39">
        <f t="shared" si="106"/>
        <v>0</v>
      </c>
      <c r="BT114" s="39">
        <f t="shared" si="106"/>
        <v>346.5</v>
      </c>
      <c r="BU114" s="39">
        <f t="shared" si="106"/>
        <v>346.5</v>
      </c>
      <c r="BV114" s="39">
        <f t="shared" si="106"/>
        <v>402.9</v>
      </c>
      <c r="BW114" s="39">
        <f t="shared" si="106"/>
        <v>402.9</v>
      </c>
      <c r="BX114" s="39">
        <f t="shared" si="106"/>
        <v>0</v>
      </c>
      <c r="BY114" s="39">
        <f t="shared" si="106"/>
        <v>0</v>
      </c>
      <c r="BZ114" s="39">
        <f t="shared" si="106"/>
        <v>0</v>
      </c>
      <c r="CA114" s="39">
        <f t="shared" si="106"/>
        <v>0</v>
      </c>
      <c r="CB114" s="39">
        <f t="shared" si="106"/>
        <v>5753.7</v>
      </c>
      <c r="CC114" s="39">
        <f t="shared" si="106"/>
        <v>5753.7</v>
      </c>
      <c r="CD114" s="39">
        <f t="shared" si="106"/>
        <v>0</v>
      </c>
      <c r="CE114" s="39">
        <f t="shared" si="106"/>
        <v>0</v>
      </c>
      <c r="CF114" s="39">
        <f t="shared" si="106"/>
        <v>18075.88</v>
      </c>
      <c r="CG114" s="39">
        <f t="shared" si="106"/>
        <v>15416.256999999998</v>
      </c>
      <c r="CH114" s="39">
        <f t="shared" si="106"/>
        <v>0</v>
      </c>
      <c r="CI114" s="39">
        <f t="shared" si="106"/>
        <v>0</v>
      </c>
      <c r="CJ114" s="39">
        <f t="shared" si="106"/>
        <v>0</v>
      </c>
      <c r="CK114" s="39">
        <f t="shared" si="106"/>
        <v>0</v>
      </c>
      <c r="CL114" s="39">
        <f t="shared" si="106"/>
        <v>0</v>
      </c>
      <c r="CM114" s="39">
        <f t="shared" si="106"/>
        <v>0</v>
      </c>
      <c r="CN114" s="39">
        <f t="shared" si="106"/>
        <v>0</v>
      </c>
      <c r="CO114" s="39">
        <f t="shared" si="106"/>
        <v>0</v>
      </c>
      <c r="CP114" s="39">
        <f t="shared" si="106"/>
        <v>0</v>
      </c>
      <c r="CQ114" s="39">
        <f t="shared" si="106"/>
        <v>0</v>
      </c>
      <c r="CR114" s="39">
        <f t="shared" si="106"/>
        <v>0</v>
      </c>
      <c r="CS114" s="39">
        <f t="shared" si="106"/>
        <v>0</v>
      </c>
      <c r="CT114" s="39">
        <f t="shared" si="106"/>
        <v>0</v>
      </c>
      <c r="CU114" s="39">
        <f t="shared" si="106"/>
        <v>0</v>
      </c>
      <c r="CV114" s="39">
        <f t="shared" si="106"/>
        <v>0</v>
      </c>
      <c r="CW114" s="39">
        <f t="shared" si="106"/>
        <v>0</v>
      </c>
      <c r="CX114" s="39">
        <f t="shared" si="106"/>
        <v>0</v>
      </c>
      <c r="CY114" s="39">
        <f t="shared" si="106"/>
        <v>0</v>
      </c>
      <c r="CZ114" s="39">
        <f t="shared" si="106"/>
        <v>156.863</v>
      </c>
      <c r="DA114" s="39">
        <f t="shared" si="106"/>
        <v>155.33635999999998</v>
      </c>
      <c r="DB114" s="39">
        <f t="shared" si="106"/>
        <v>0</v>
      </c>
      <c r="DC114" s="39">
        <f t="shared" si="106"/>
        <v>0</v>
      </c>
      <c r="DD114" s="39">
        <f t="shared" si="106"/>
        <v>0</v>
      </c>
      <c r="DE114" s="39">
        <f t="shared" si="106"/>
        <v>0</v>
      </c>
      <c r="DF114" s="39">
        <f t="shared" si="106"/>
        <v>156.863</v>
      </c>
      <c r="DG114" s="39">
        <f t="shared" si="106"/>
        <v>155.33635999999998</v>
      </c>
      <c r="DH114" s="39">
        <f t="shared" si="106"/>
        <v>0</v>
      </c>
      <c r="DI114" s="39">
        <f t="shared" si="106"/>
        <v>0</v>
      </c>
      <c r="DJ114" s="39">
        <f t="shared" si="106"/>
        <v>0</v>
      </c>
      <c r="DK114" s="39">
        <f t="shared" si="106"/>
        <v>0</v>
      </c>
      <c r="DL114" s="39">
        <f t="shared" si="106"/>
        <v>0</v>
      </c>
      <c r="DM114" s="39">
        <f t="shared" si="106"/>
        <v>0</v>
      </c>
      <c r="DN114" s="39">
        <f t="shared" si="106"/>
        <v>0</v>
      </c>
      <c r="DO114" s="39">
        <f t="shared" si="106"/>
        <v>0</v>
      </c>
      <c r="DP114" s="39">
        <f t="shared" si="106"/>
        <v>0</v>
      </c>
      <c r="DQ114" s="39">
        <f t="shared" si="106"/>
        <v>0</v>
      </c>
      <c r="DR114" s="39">
        <f t="shared" si="106"/>
        <v>0</v>
      </c>
      <c r="DS114" s="39">
        <f t="shared" si="106"/>
        <v>0</v>
      </c>
      <c r="DT114" s="39">
        <f t="shared" si="106"/>
        <v>0</v>
      </c>
      <c r="DU114" s="39">
        <f t="shared" si="106"/>
        <v>0</v>
      </c>
      <c r="DV114" s="39">
        <f t="shared" si="106"/>
        <v>0</v>
      </c>
      <c r="DW114" s="39">
        <f t="shared" si="106"/>
        <v>0</v>
      </c>
      <c r="DX114" s="39">
        <f t="shared" si="106"/>
        <v>0</v>
      </c>
      <c r="DY114" s="39">
        <f t="shared" si="106"/>
        <v>0</v>
      </c>
      <c r="DZ114" s="39">
        <f t="shared" si="106"/>
        <v>0</v>
      </c>
      <c r="EA114" s="39">
        <f aca="true" t="shared" si="107" ref="EA114:GL114">SUM(EA115:EA120)</f>
        <v>0</v>
      </c>
      <c r="EB114" s="39">
        <f t="shared" si="107"/>
        <v>0</v>
      </c>
      <c r="EC114" s="39">
        <f t="shared" si="107"/>
        <v>0</v>
      </c>
      <c r="ED114" s="39">
        <f t="shared" si="107"/>
        <v>90</v>
      </c>
      <c r="EE114" s="39">
        <f t="shared" si="107"/>
        <v>90</v>
      </c>
      <c r="EF114" s="39">
        <f t="shared" si="107"/>
        <v>0</v>
      </c>
      <c r="EG114" s="39">
        <f t="shared" si="107"/>
        <v>0</v>
      </c>
      <c r="EH114" s="39">
        <f t="shared" si="107"/>
        <v>7720.4</v>
      </c>
      <c r="EI114" s="39">
        <f t="shared" si="107"/>
        <v>7720.4</v>
      </c>
      <c r="EJ114" s="39">
        <f t="shared" si="107"/>
        <v>1278</v>
      </c>
      <c r="EK114" s="39">
        <f t="shared" si="107"/>
        <v>1278</v>
      </c>
      <c r="EL114" s="39">
        <f t="shared" si="107"/>
        <v>0</v>
      </c>
      <c r="EM114" s="39">
        <f t="shared" si="107"/>
        <v>0</v>
      </c>
      <c r="EN114" s="39">
        <f t="shared" si="107"/>
        <v>0</v>
      </c>
      <c r="EO114" s="39">
        <f t="shared" si="107"/>
        <v>0</v>
      </c>
      <c r="EP114" s="39">
        <f t="shared" si="107"/>
        <v>0</v>
      </c>
      <c r="EQ114" s="39">
        <f t="shared" si="107"/>
        <v>0</v>
      </c>
      <c r="ER114" s="39">
        <f t="shared" si="107"/>
        <v>0</v>
      </c>
      <c r="ES114" s="39">
        <f t="shared" si="107"/>
        <v>0</v>
      </c>
      <c r="ET114" s="39">
        <f t="shared" si="107"/>
        <v>0</v>
      </c>
      <c r="EU114" s="39">
        <f t="shared" si="107"/>
        <v>0</v>
      </c>
      <c r="EV114" s="39">
        <f t="shared" si="107"/>
        <v>20.1</v>
      </c>
      <c r="EW114" s="39">
        <f t="shared" si="107"/>
        <v>20.1</v>
      </c>
      <c r="EX114" s="39">
        <f t="shared" si="107"/>
        <v>0</v>
      </c>
      <c r="EY114" s="39">
        <f t="shared" si="107"/>
        <v>0</v>
      </c>
      <c r="EZ114" s="39">
        <f t="shared" si="107"/>
        <v>0</v>
      </c>
      <c r="FA114" s="39">
        <f t="shared" si="107"/>
        <v>0</v>
      </c>
      <c r="FB114" s="39">
        <f t="shared" si="107"/>
        <v>9108.5</v>
      </c>
      <c r="FC114" s="39">
        <f t="shared" si="107"/>
        <v>9108.5</v>
      </c>
      <c r="FD114" s="39">
        <f t="shared" si="107"/>
        <v>343.7</v>
      </c>
      <c r="FE114" s="39">
        <f t="shared" si="107"/>
        <v>343.7</v>
      </c>
      <c r="FF114" s="39">
        <f t="shared" si="107"/>
        <v>27.77</v>
      </c>
      <c r="FG114" s="39">
        <f t="shared" si="107"/>
        <v>27.77</v>
      </c>
      <c r="FH114" s="39">
        <f t="shared" si="107"/>
        <v>371.46999999999997</v>
      </c>
      <c r="FI114" s="39">
        <f t="shared" si="107"/>
        <v>371.46999999999997</v>
      </c>
      <c r="FJ114" s="39">
        <f t="shared" si="107"/>
        <v>600</v>
      </c>
      <c r="FK114" s="39">
        <f t="shared" si="107"/>
        <v>600</v>
      </c>
      <c r="FL114" s="39">
        <f t="shared" si="107"/>
        <v>0</v>
      </c>
      <c r="FM114" s="39">
        <f t="shared" si="107"/>
        <v>0</v>
      </c>
      <c r="FN114" s="39">
        <f t="shared" si="107"/>
        <v>1667.6</v>
      </c>
      <c r="FO114" s="39">
        <f t="shared" si="107"/>
        <v>1667.6</v>
      </c>
      <c r="FP114" s="39">
        <f t="shared" si="107"/>
        <v>89379</v>
      </c>
      <c r="FQ114" s="39">
        <f t="shared" si="107"/>
        <v>89379</v>
      </c>
      <c r="FR114" s="39">
        <f t="shared" si="107"/>
        <v>0</v>
      </c>
      <c r="FS114" s="39">
        <f t="shared" si="107"/>
        <v>0</v>
      </c>
      <c r="FT114" s="39">
        <f t="shared" si="107"/>
        <v>1009</v>
      </c>
      <c r="FU114" s="39">
        <f t="shared" si="107"/>
        <v>1009</v>
      </c>
      <c r="FV114" s="39">
        <f t="shared" si="107"/>
        <v>662</v>
      </c>
      <c r="FW114" s="39">
        <f t="shared" si="107"/>
        <v>662</v>
      </c>
      <c r="FX114" s="39">
        <f t="shared" si="107"/>
        <v>11930</v>
      </c>
      <c r="FY114" s="39">
        <f t="shared" si="107"/>
        <v>11930</v>
      </c>
      <c r="FZ114" s="39">
        <f t="shared" si="107"/>
        <v>1686</v>
      </c>
      <c r="GA114" s="39">
        <f t="shared" si="107"/>
        <v>1686</v>
      </c>
      <c r="GB114" s="39">
        <f t="shared" si="107"/>
        <v>1750.5</v>
      </c>
      <c r="GC114" s="39">
        <f t="shared" si="107"/>
        <v>1750.5</v>
      </c>
      <c r="GD114" s="39">
        <f t="shared" si="107"/>
        <v>10750.07</v>
      </c>
      <c r="GE114" s="39">
        <f t="shared" si="107"/>
        <v>10750.07</v>
      </c>
      <c r="GF114" s="39">
        <f t="shared" si="107"/>
        <v>1475.9</v>
      </c>
      <c r="GG114" s="39">
        <f t="shared" si="107"/>
        <v>1475.9</v>
      </c>
      <c r="GH114" s="39">
        <f t="shared" si="107"/>
        <v>632</v>
      </c>
      <c r="GI114" s="39">
        <f t="shared" si="107"/>
        <v>632</v>
      </c>
      <c r="GJ114" s="39">
        <f t="shared" si="107"/>
        <v>25054.8</v>
      </c>
      <c r="GK114" s="39">
        <f t="shared" si="107"/>
        <v>25054.8</v>
      </c>
      <c r="GL114" s="39">
        <f t="shared" si="107"/>
        <v>64193.5</v>
      </c>
      <c r="GM114" s="39">
        <f aca="true" t="shared" si="108" ref="GM114:HY114">SUM(GM115:GM120)</f>
        <v>64193.5</v>
      </c>
      <c r="GN114" s="39">
        <f t="shared" si="108"/>
        <v>0</v>
      </c>
      <c r="GO114" s="39">
        <f t="shared" si="108"/>
        <v>0</v>
      </c>
      <c r="GP114" s="39">
        <f t="shared" si="108"/>
        <v>2461.9</v>
      </c>
      <c r="GQ114" s="39">
        <f t="shared" si="108"/>
        <v>2461.9</v>
      </c>
      <c r="GR114" s="39">
        <f t="shared" si="108"/>
        <v>734</v>
      </c>
      <c r="GS114" s="39">
        <f t="shared" si="108"/>
        <v>734</v>
      </c>
      <c r="GT114" s="39">
        <f t="shared" si="108"/>
        <v>265</v>
      </c>
      <c r="GU114" s="39">
        <f t="shared" si="108"/>
        <v>265</v>
      </c>
      <c r="GV114" s="39">
        <f t="shared" si="108"/>
        <v>17022</v>
      </c>
      <c r="GW114" s="39">
        <f t="shared" si="108"/>
        <v>17022</v>
      </c>
      <c r="GX114" s="39">
        <f t="shared" si="108"/>
        <v>2363.9</v>
      </c>
      <c r="GY114" s="39">
        <f t="shared" si="108"/>
        <v>2363.9</v>
      </c>
      <c r="GZ114" s="39">
        <f t="shared" si="108"/>
        <v>50</v>
      </c>
      <c r="HA114" s="39">
        <f t="shared" si="108"/>
        <v>50</v>
      </c>
      <c r="HB114" s="39">
        <f t="shared" si="108"/>
        <v>0</v>
      </c>
      <c r="HC114" s="39">
        <f t="shared" si="108"/>
        <v>0</v>
      </c>
      <c r="HD114" s="39">
        <f t="shared" si="108"/>
        <v>233687.16999999998</v>
      </c>
      <c r="HE114" s="39">
        <f t="shared" si="108"/>
        <v>233687.16999999998</v>
      </c>
      <c r="HF114" s="39">
        <f t="shared" si="108"/>
        <v>0</v>
      </c>
      <c r="HG114" s="39">
        <f t="shared" si="108"/>
        <v>0</v>
      </c>
      <c r="HH114" s="39">
        <f t="shared" si="108"/>
        <v>0</v>
      </c>
      <c r="HI114" s="39">
        <f t="shared" si="108"/>
        <v>0</v>
      </c>
      <c r="HJ114" s="39">
        <f t="shared" si="108"/>
        <v>0</v>
      </c>
      <c r="HK114" s="39">
        <f t="shared" si="108"/>
        <v>0</v>
      </c>
      <c r="HL114" s="39">
        <f t="shared" si="108"/>
        <v>0</v>
      </c>
      <c r="HM114" s="39">
        <f t="shared" si="108"/>
        <v>0</v>
      </c>
      <c r="HN114" s="39">
        <f t="shared" si="108"/>
        <v>0</v>
      </c>
      <c r="HO114" s="39">
        <f t="shared" si="108"/>
        <v>0</v>
      </c>
      <c r="HP114" s="39">
        <f t="shared" si="108"/>
        <v>0</v>
      </c>
      <c r="HQ114" s="39">
        <f t="shared" si="108"/>
        <v>0</v>
      </c>
      <c r="HR114" s="39">
        <f t="shared" si="108"/>
        <v>0</v>
      </c>
      <c r="HS114" s="39">
        <f t="shared" si="108"/>
        <v>0</v>
      </c>
      <c r="HT114" s="39">
        <f t="shared" si="108"/>
        <v>283</v>
      </c>
      <c r="HU114" s="39">
        <f t="shared" si="108"/>
        <v>272.14</v>
      </c>
      <c r="HV114" s="39">
        <f t="shared" si="108"/>
        <v>3.501</v>
      </c>
      <c r="HW114" s="39">
        <f t="shared" si="108"/>
        <v>3.501</v>
      </c>
      <c r="HX114" s="39">
        <f t="shared" si="108"/>
        <v>286.501</v>
      </c>
      <c r="HY114" s="39">
        <f t="shared" si="108"/>
        <v>275.64099999999996</v>
      </c>
    </row>
    <row r="115" spans="1:233" ht="12.75">
      <c r="A115" s="12" t="s">
        <v>156</v>
      </c>
      <c r="B115" s="39">
        <f>3488+2325+2907+1744+2907+2907+2906+2907+2907+2906+2325.3+2325.4+2325.3</f>
        <v>34880</v>
      </c>
      <c r="C115" s="39">
        <f>3488+2325+2907+1744+2907+2907+2906+2907+2907+2906+2325.3+2325.4+2325.3</f>
        <v>34880</v>
      </c>
      <c r="D115" s="39"/>
      <c r="E115" s="39"/>
      <c r="F115" s="39">
        <f>6322+4215+5269+3161+5269+3905+7746+3905+3905+3905+3905+3905.3+3905.4+3905.3</f>
        <v>63223.00000000001</v>
      </c>
      <c r="G115" s="39">
        <f>6322+4215+5269+3161+5269+3905+7746+3905+3905+3905+3905+3905.3+3905.4+3905.3</f>
        <v>63223.00000000001</v>
      </c>
      <c r="H115" s="34"/>
      <c r="I115" s="34"/>
      <c r="J115" s="34"/>
      <c r="K115" s="34"/>
      <c r="L115" s="34"/>
      <c r="M115" s="34"/>
      <c r="N115" s="34"/>
      <c r="O115" s="34"/>
      <c r="P115" s="51"/>
      <c r="Q115" s="51"/>
      <c r="R115" s="39"/>
      <c r="S115" s="39"/>
      <c r="T115" s="39"/>
      <c r="U115" s="39"/>
      <c r="V115" s="39"/>
      <c r="W115" s="39"/>
      <c r="X115" s="34"/>
      <c r="Y115" s="34"/>
      <c r="Z115" s="52">
        <v>9500</v>
      </c>
      <c r="AA115" s="52">
        <v>9500</v>
      </c>
      <c r="AB115" s="39">
        <v>10375</v>
      </c>
      <c r="AC115" s="39">
        <v>10375</v>
      </c>
      <c r="AD115" s="39"/>
      <c r="AE115" s="39"/>
      <c r="AF115" s="39"/>
      <c r="AG115" s="48"/>
      <c r="AH115" s="126">
        <f t="shared" si="65"/>
        <v>117978</v>
      </c>
      <c r="AI115" s="126">
        <f t="shared" si="98"/>
        <v>117978</v>
      </c>
      <c r="AJ115" s="43">
        <v>317.5</v>
      </c>
      <c r="AK115" s="43">
        <v>317.5</v>
      </c>
      <c r="AL115" s="134"/>
      <c r="AM115" s="41"/>
      <c r="AN115" s="41"/>
      <c r="AO115" s="41"/>
      <c r="AP115" s="41"/>
      <c r="AQ115" s="41"/>
      <c r="AR115" s="39"/>
      <c r="AS115" s="39"/>
      <c r="AT115" s="43"/>
      <c r="AU115" s="43"/>
      <c r="AV115" s="43"/>
      <c r="AW115" s="43"/>
      <c r="AX115" s="43"/>
      <c r="AY115" s="43"/>
      <c r="AZ115" s="39">
        <f t="shared" si="67"/>
        <v>317.5</v>
      </c>
      <c r="BA115" s="39">
        <f t="shared" si="61"/>
        <v>317.5</v>
      </c>
      <c r="BB115" s="39">
        <v>1177</v>
      </c>
      <c r="BC115" s="39">
        <v>1177</v>
      </c>
      <c r="BD115" s="39"/>
      <c r="BE115" s="43"/>
      <c r="BF115" s="43"/>
      <c r="BG115" s="43"/>
      <c r="BH115" s="43"/>
      <c r="BI115" s="43"/>
      <c r="BJ115" s="43">
        <v>4689</v>
      </c>
      <c r="BK115" s="43">
        <v>4689</v>
      </c>
      <c r="BL115" s="43">
        <v>6175</v>
      </c>
      <c r="BM115" s="43">
        <v>3734</v>
      </c>
      <c r="BN115" s="45"/>
      <c r="BO115" s="45"/>
      <c r="BP115" s="45"/>
      <c r="BQ115" s="45"/>
      <c r="BR115" s="43"/>
      <c r="BS115" s="43"/>
      <c r="BT115" s="43">
        <v>346.5</v>
      </c>
      <c r="BU115" s="43">
        <v>346.5</v>
      </c>
      <c r="BV115" s="43">
        <v>402.9</v>
      </c>
      <c r="BW115" s="43">
        <v>402.9</v>
      </c>
      <c r="BX115" s="43"/>
      <c r="BY115" s="45"/>
      <c r="BZ115" s="43"/>
      <c r="CA115" s="45"/>
      <c r="CB115" s="39">
        <v>5753.7</v>
      </c>
      <c r="CC115" s="39">
        <v>5753.7</v>
      </c>
      <c r="CD115" s="43"/>
      <c r="CE115" s="43"/>
      <c r="CF115" s="39">
        <f t="shared" si="68"/>
        <v>17367.1</v>
      </c>
      <c r="CG115" s="39">
        <f t="shared" si="99"/>
        <v>14926.099999999999</v>
      </c>
      <c r="CH115" s="39"/>
      <c r="CI115" s="39"/>
      <c r="CJ115" s="39"/>
      <c r="CK115" s="45"/>
      <c r="CL115" s="45"/>
      <c r="CM115" s="43"/>
      <c r="CN115" s="43"/>
      <c r="CO115" s="43"/>
      <c r="CP115" s="43"/>
      <c r="CQ115" s="39"/>
      <c r="CR115" s="43"/>
      <c r="CS115" s="45"/>
      <c r="CT115" s="45"/>
      <c r="CU115" s="45"/>
      <c r="CV115" s="45"/>
      <c r="CW115" s="43"/>
      <c r="CX115" s="43"/>
      <c r="CY115" s="43"/>
      <c r="CZ115" s="39">
        <v>156.863</v>
      </c>
      <c r="DA115" s="39">
        <v>155.33635999999998</v>
      </c>
      <c r="DB115" s="43"/>
      <c r="DC115" s="43"/>
      <c r="DD115" s="43"/>
      <c r="DE115" s="43"/>
      <c r="DF115" s="39">
        <f t="shared" si="70"/>
        <v>156.863</v>
      </c>
      <c r="DG115" s="39">
        <f t="shared" si="100"/>
        <v>155.33635999999998</v>
      </c>
      <c r="DH115" s="39"/>
      <c r="DI115" s="39"/>
      <c r="DJ115" s="39">
        <v>0</v>
      </c>
      <c r="DK115" s="39">
        <f t="shared" si="62"/>
        <v>0</v>
      </c>
      <c r="DL115" s="39"/>
      <c r="DM115" s="39"/>
      <c r="DN115" s="43"/>
      <c r="DO115" s="43"/>
      <c r="DP115" s="39">
        <f t="shared" si="72"/>
        <v>0</v>
      </c>
      <c r="DQ115" s="39">
        <f t="shared" si="63"/>
        <v>0</v>
      </c>
      <c r="DR115" s="39"/>
      <c r="DS115" s="39"/>
      <c r="DT115" s="43"/>
      <c r="DU115" s="43"/>
      <c r="DV115" s="43"/>
      <c r="DW115" s="43"/>
      <c r="DX115" s="43"/>
      <c r="DY115" s="43"/>
      <c r="DZ115" s="39"/>
      <c r="EA115" s="39"/>
      <c r="EB115" s="43"/>
      <c r="EC115" s="43"/>
      <c r="ED115" s="43">
        <v>90</v>
      </c>
      <c r="EE115" s="43">
        <v>90</v>
      </c>
      <c r="EF115" s="39"/>
      <c r="EG115" s="43"/>
      <c r="EH115" s="43">
        <v>7720.4</v>
      </c>
      <c r="EI115" s="39">
        <v>7720.4</v>
      </c>
      <c r="EJ115" s="39">
        <v>1278</v>
      </c>
      <c r="EK115" s="43">
        <v>1278</v>
      </c>
      <c r="EL115" s="43"/>
      <c r="EM115" s="43"/>
      <c r="EN115" s="45"/>
      <c r="EO115" s="45"/>
      <c r="EP115" s="43"/>
      <c r="EQ115" s="43"/>
      <c r="ER115" s="43"/>
      <c r="ES115" s="43"/>
      <c r="ET115" s="135"/>
      <c r="EU115" s="135"/>
      <c r="EV115" s="135">
        <v>20.1</v>
      </c>
      <c r="EW115" s="135">
        <v>20.1</v>
      </c>
      <c r="EX115" s="43"/>
      <c r="EY115" s="43"/>
      <c r="EZ115" s="43"/>
      <c r="FA115" s="43"/>
      <c r="FB115" s="37">
        <f t="shared" si="73"/>
        <v>9108.5</v>
      </c>
      <c r="FC115" s="37">
        <f t="shared" si="101"/>
        <v>9108.5</v>
      </c>
      <c r="FD115" s="39">
        <v>343.7</v>
      </c>
      <c r="FE115" s="39">
        <v>343.7</v>
      </c>
      <c r="FF115" s="43">
        <v>27.77</v>
      </c>
      <c r="FG115" s="43">
        <v>27.77</v>
      </c>
      <c r="FH115" s="132">
        <f t="shared" si="75"/>
        <v>371.46999999999997</v>
      </c>
      <c r="FI115" s="132">
        <f t="shared" si="64"/>
        <v>371.46999999999997</v>
      </c>
      <c r="FJ115" s="39">
        <v>600</v>
      </c>
      <c r="FK115" s="39">
        <v>600</v>
      </c>
      <c r="FL115" s="43"/>
      <c r="FM115" s="43"/>
      <c r="FN115" s="43">
        <v>1667.6</v>
      </c>
      <c r="FO115" s="43">
        <v>1667.6</v>
      </c>
      <c r="FP115" s="43">
        <v>89379</v>
      </c>
      <c r="FQ115" s="43">
        <v>89379</v>
      </c>
      <c r="FR115" s="39"/>
      <c r="FS115" s="135"/>
      <c r="FT115" s="43">
        <v>1009</v>
      </c>
      <c r="FU115" s="43">
        <v>1009</v>
      </c>
      <c r="FV115" s="43">
        <v>662</v>
      </c>
      <c r="FW115" s="43">
        <v>662</v>
      </c>
      <c r="FX115" s="43">
        <v>11930</v>
      </c>
      <c r="FY115" s="43">
        <v>11930</v>
      </c>
      <c r="FZ115" s="43">
        <v>1686</v>
      </c>
      <c r="GA115" s="43">
        <v>1686</v>
      </c>
      <c r="GB115" s="43">
        <v>1750.5</v>
      </c>
      <c r="GC115" s="43">
        <v>1750.5</v>
      </c>
      <c r="GD115" s="135">
        <v>10750.07</v>
      </c>
      <c r="GE115" s="135">
        <v>10750.07</v>
      </c>
      <c r="GF115" s="43">
        <v>1475.9</v>
      </c>
      <c r="GG115" s="43">
        <v>1475.9</v>
      </c>
      <c r="GH115" s="43">
        <v>632</v>
      </c>
      <c r="GI115" s="43">
        <v>632</v>
      </c>
      <c r="GJ115" s="43">
        <v>25054.8</v>
      </c>
      <c r="GK115" s="43">
        <v>25054.8</v>
      </c>
      <c r="GL115" s="43">
        <v>64193.5</v>
      </c>
      <c r="GM115" s="43">
        <v>64193.5</v>
      </c>
      <c r="GN115" s="43"/>
      <c r="GO115" s="43"/>
      <c r="GP115" s="43">
        <v>2461.9</v>
      </c>
      <c r="GQ115" s="43">
        <v>2461.9</v>
      </c>
      <c r="GR115" s="43">
        <v>734</v>
      </c>
      <c r="GS115" s="43">
        <v>734</v>
      </c>
      <c r="GT115" s="43">
        <v>265</v>
      </c>
      <c r="GU115" s="43">
        <v>265</v>
      </c>
      <c r="GV115" s="43">
        <v>17022</v>
      </c>
      <c r="GW115" s="43">
        <v>17022</v>
      </c>
      <c r="GX115" s="45">
        <v>2363.9</v>
      </c>
      <c r="GY115" s="45">
        <v>2363.9</v>
      </c>
      <c r="GZ115" s="43">
        <v>50</v>
      </c>
      <c r="HA115" s="43">
        <v>50</v>
      </c>
      <c r="HB115" s="43"/>
      <c r="HC115" s="43"/>
      <c r="HD115" s="39">
        <f t="shared" si="76"/>
        <v>233687.16999999998</v>
      </c>
      <c r="HE115" s="39">
        <f t="shared" si="102"/>
        <v>233687.16999999998</v>
      </c>
      <c r="HF115" s="39"/>
      <c r="HG115" s="39"/>
      <c r="HH115" s="39"/>
      <c r="HI115" s="43"/>
      <c r="HJ115" s="43"/>
      <c r="HK115" s="43"/>
      <c r="HL115" s="43"/>
      <c r="HM115" s="43"/>
      <c r="HN115" s="136"/>
      <c r="HO115" s="136"/>
      <c r="HP115" s="39">
        <f t="shared" si="78"/>
        <v>0</v>
      </c>
      <c r="HQ115" s="39">
        <f t="shared" si="103"/>
        <v>0</v>
      </c>
      <c r="HR115" s="39"/>
      <c r="HS115" s="39"/>
      <c r="HT115" s="39">
        <v>283</v>
      </c>
      <c r="HU115" s="43">
        <v>272.14</v>
      </c>
      <c r="HV115" s="39">
        <v>3.501</v>
      </c>
      <c r="HW115" s="39">
        <v>3.501</v>
      </c>
      <c r="HX115" s="39">
        <f t="shared" si="80"/>
        <v>286.501</v>
      </c>
      <c r="HY115" s="39">
        <f t="shared" si="104"/>
        <v>275.64099999999996</v>
      </c>
    </row>
    <row r="116" spans="1:233" ht="12.75" customHeight="1">
      <c r="A116" s="14" t="s">
        <v>219</v>
      </c>
      <c r="B116" s="39"/>
      <c r="C116" s="39"/>
      <c r="D116" s="39">
        <f>150+150+149+125+125+124+124+125+125+99.7+99.7+99.6</f>
        <v>1496</v>
      </c>
      <c r="E116" s="39">
        <f>150+150+149+125+125+124+124+125+125+99.7+99.7+99.6</f>
        <v>1496</v>
      </c>
      <c r="F116" s="39"/>
      <c r="G116" s="39"/>
      <c r="H116" s="34"/>
      <c r="I116" s="34"/>
      <c r="J116" s="34">
        <v>1583.3</v>
      </c>
      <c r="K116" s="34">
        <v>1583.3</v>
      </c>
      <c r="L116" s="34"/>
      <c r="M116" s="34"/>
      <c r="N116" s="34"/>
      <c r="O116" s="34"/>
      <c r="P116" s="51"/>
      <c r="Q116" s="51"/>
      <c r="R116" s="39">
        <v>20</v>
      </c>
      <c r="S116" s="39">
        <f>17.57611</f>
        <v>17.57611</v>
      </c>
      <c r="T116" s="39">
        <v>87.62187</v>
      </c>
      <c r="U116" s="39">
        <v>87.62187</v>
      </c>
      <c r="V116" s="39"/>
      <c r="W116" s="39"/>
      <c r="X116" s="34"/>
      <c r="Y116" s="34"/>
      <c r="Z116" s="52"/>
      <c r="AA116" s="52"/>
      <c r="AB116" s="39"/>
      <c r="AC116" s="39"/>
      <c r="AD116" s="39">
        <v>2033</v>
      </c>
      <c r="AE116" s="39">
        <v>2033</v>
      </c>
      <c r="AF116" s="39"/>
      <c r="AG116" s="48"/>
      <c r="AH116" s="126">
        <f t="shared" si="65"/>
        <v>5219.92187</v>
      </c>
      <c r="AI116" s="126">
        <f t="shared" si="98"/>
        <v>5217.49798</v>
      </c>
      <c r="AJ116" s="43"/>
      <c r="AK116" s="43"/>
      <c r="AL116" s="134"/>
      <c r="AM116" s="41"/>
      <c r="AN116" s="41"/>
      <c r="AO116" s="41"/>
      <c r="AP116" s="41"/>
      <c r="AQ116" s="41"/>
      <c r="AR116" s="39"/>
      <c r="AS116" s="39"/>
      <c r="AT116" s="43"/>
      <c r="AU116" s="43"/>
      <c r="AV116" s="43"/>
      <c r="AW116" s="43"/>
      <c r="AX116" s="43"/>
      <c r="AY116" s="43"/>
      <c r="AZ116" s="39">
        <f t="shared" si="67"/>
        <v>0</v>
      </c>
      <c r="BA116" s="39">
        <f t="shared" si="61"/>
        <v>0</v>
      </c>
      <c r="BB116" s="39">
        <v>0</v>
      </c>
      <c r="BC116" s="39">
        <v>0</v>
      </c>
      <c r="BD116" s="39">
        <v>128</v>
      </c>
      <c r="BE116" s="43">
        <v>94.05</v>
      </c>
      <c r="BF116" s="43"/>
      <c r="BG116" s="43"/>
      <c r="BH116" s="43"/>
      <c r="BI116" s="43"/>
      <c r="BJ116" s="43"/>
      <c r="BK116" s="43"/>
      <c r="BL116" s="43"/>
      <c r="BM116" s="43"/>
      <c r="BN116" s="45"/>
      <c r="BO116" s="45"/>
      <c r="BP116" s="45"/>
      <c r="BQ116" s="45"/>
      <c r="BR116" s="43"/>
      <c r="BS116" s="43"/>
      <c r="BT116" s="43"/>
      <c r="BU116" s="43"/>
      <c r="BV116" s="45"/>
      <c r="BW116" s="45"/>
      <c r="BX116" s="43"/>
      <c r="BY116" s="45"/>
      <c r="BZ116" s="43"/>
      <c r="CA116" s="45"/>
      <c r="CB116" s="45"/>
      <c r="CC116" s="45"/>
      <c r="CD116" s="45"/>
      <c r="CE116" s="45"/>
      <c r="CF116" s="39">
        <f t="shared" si="68"/>
        <v>128</v>
      </c>
      <c r="CG116" s="39">
        <f t="shared" si="99"/>
        <v>94.05</v>
      </c>
      <c r="CH116" s="39"/>
      <c r="CI116" s="39"/>
      <c r="CJ116" s="39"/>
      <c r="CK116" s="45"/>
      <c r="CL116" s="45"/>
      <c r="CM116" s="43"/>
      <c r="CN116" s="43"/>
      <c r="CO116" s="43"/>
      <c r="CP116" s="43"/>
      <c r="CQ116" s="39"/>
      <c r="CR116" s="43"/>
      <c r="CS116" s="45"/>
      <c r="CT116" s="45"/>
      <c r="CU116" s="45"/>
      <c r="CV116" s="45"/>
      <c r="CW116" s="43"/>
      <c r="CX116" s="43"/>
      <c r="CY116" s="43"/>
      <c r="CZ116" s="39"/>
      <c r="DA116" s="45"/>
      <c r="DB116" s="43"/>
      <c r="DC116" s="43"/>
      <c r="DD116" s="43"/>
      <c r="DE116" s="43"/>
      <c r="DF116" s="39">
        <f t="shared" si="70"/>
        <v>0</v>
      </c>
      <c r="DG116" s="39">
        <f t="shared" si="100"/>
        <v>0</v>
      </c>
      <c r="DH116" s="39"/>
      <c r="DI116" s="39"/>
      <c r="DJ116" s="39">
        <v>0</v>
      </c>
      <c r="DK116" s="39">
        <f t="shared" si="62"/>
        <v>0</v>
      </c>
      <c r="DL116" s="39"/>
      <c r="DM116" s="39"/>
      <c r="DN116" s="43"/>
      <c r="DO116" s="43"/>
      <c r="DP116" s="39">
        <f t="shared" si="72"/>
        <v>0</v>
      </c>
      <c r="DQ116" s="39">
        <f t="shared" si="63"/>
        <v>0</v>
      </c>
      <c r="DR116" s="39"/>
      <c r="DS116" s="39"/>
      <c r="DT116" s="43"/>
      <c r="DU116" s="43"/>
      <c r="DV116" s="43"/>
      <c r="DW116" s="43"/>
      <c r="DX116" s="43"/>
      <c r="DY116" s="43"/>
      <c r="DZ116" s="39"/>
      <c r="EA116" s="39"/>
      <c r="EB116" s="43"/>
      <c r="EC116" s="43"/>
      <c r="ED116" s="43"/>
      <c r="EE116" s="43"/>
      <c r="EF116" s="39"/>
      <c r="EG116" s="43"/>
      <c r="EH116" s="43"/>
      <c r="EI116" s="45"/>
      <c r="EJ116" s="39"/>
      <c r="EK116" s="43"/>
      <c r="EL116" s="43"/>
      <c r="EM116" s="43"/>
      <c r="EN116" s="45"/>
      <c r="EO116" s="45"/>
      <c r="EP116" s="43"/>
      <c r="EQ116" s="43"/>
      <c r="ER116" s="43"/>
      <c r="ES116" s="43"/>
      <c r="ET116" s="135"/>
      <c r="EU116" s="135"/>
      <c r="EV116" s="135"/>
      <c r="EW116" s="135"/>
      <c r="EX116" s="43"/>
      <c r="EY116" s="43"/>
      <c r="EZ116" s="43"/>
      <c r="FA116" s="43"/>
      <c r="FB116" s="37">
        <f t="shared" si="73"/>
        <v>0</v>
      </c>
      <c r="FC116" s="37">
        <f t="shared" si="101"/>
        <v>0</v>
      </c>
      <c r="FD116" s="39"/>
      <c r="FE116" s="39"/>
      <c r="FF116" s="43"/>
      <c r="FG116" s="43"/>
      <c r="FH116" s="132">
        <f t="shared" si="75"/>
        <v>0</v>
      </c>
      <c r="FI116" s="132">
        <f t="shared" si="64"/>
        <v>0</v>
      </c>
      <c r="FJ116" s="39"/>
      <c r="FK116" s="39"/>
      <c r="FL116" s="43"/>
      <c r="FM116" s="43"/>
      <c r="FN116" s="43"/>
      <c r="FO116" s="43"/>
      <c r="FP116" s="43"/>
      <c r="FQ116" s="43"/>
      <c r="FR116" s="39"/>
      <c r="FS116" s="135"/>
      <c r="FT116" s="43"/>
      <c r="FU116" s="43"/>
      <c r="FV116" s="43"/>
      <c r="FW116" s="43"/>
      <c r="FX116" s="43"/>
      <c r="FY116" s="43"/>
      <c r="FZ116" s="43"/>
      <c r="GA116" s="43"/>
      <c r="GB116" s="43"/>
      <c r="GC116" s="43"/>
      <c r="GD116" s="135"/>
      <c r="GE116" s="135"/>
      <c r="GF116" s="43"/>
      <c r="GG116" s="43"/>
      <c r="GH116" s="43"/>
      <c r="GI116" s="43"/>
      <c r="GJ116" s="43"/>
      <c r="GK116" s="43"/>
      <c r="GL116" s="43"/>
      <c r="GM116" s="43"/>
      <c r="GN116" s="43"/>
      <c r="GO116" s="43"/>
      <c r="GP116" s="43"/>
      <c r="GQ116" s="43"/>
      <c r="GR116" s="43"/>
      <c r="GS116" s="43"/>
      <c r="GT116" s="43"/>
      <c r="GU116" s="43"/>
      <c r="GV116" s="43"/>
      <c r="GW116" s="43"/>
      <c r="GX116" s="45"/>
      <c r="GY116" s="45"/>
      <c r="GZ116" s="43"/>
      <c r="HA116" s="43"/>
      <c r="HB116" s="43"/>
      <c r="HC116" s="43"/>
      <c r="HD116" s="39">
        <f t="shared" si="76"/>
        <v>0</v>
      </c>
      <c r="HE116" s="39">
        <f t="shared" si="102"/>
        <v>0</v>
      </c>
      <c r="HF116" s="39"/>
      <c r="HG116" s="39"/>
      <c r="HH116" s="39"/>
      <c r="HI116" s="43"/>
      <c r="HJ116" s="43"/>
      <c r="HK116" s="43"/>
      <c r="HL116" s="43"/>
      <c r="HM116" s="43"/>
      <c r="HN116" s="136"/>
      <c r="HO116" s="136"/>
      <c r="HP116" s="39">
        <f t="shared" si="78"/>
        <v>0</v>
      </c>
      <c r="HQ116" s="39">
        <f t="shared" si="103"/>
        <v>0</v>
      </c>
      <c r="HR116" s="39"/>
      <c r="HS116" s="39"/>
      <c r="HT116" s="39"/>
      <c r="HU116" s="43"/>
      <c r="HV116" s="39"/>
      <c r="HW116" s="39"/>
      <c r="HX116" s="39">
        <f t="shared" si="80"/>
        <v>0</v>
      </c>
      <c r="HY116" s="39">
        <f t="shared" si="104"/>
        <v>0</v>
      </c>
    </row>
    <row r="117" spans="1:233" ht="12.75">
      <c r="A117" s="14" t="s">
        <v>269</v>
      </c>
      <c r="B117" s="39"/>
      <c r="C117" s="39"/>
      <c r="D117" s="39">
        <f>288+288+287+240+240+239+240+240+239+192+192+192</f>
        <v>2877</v>
      </c>
      <c r="E117" s="39">
        <f>288+288+287+240+240+239+240+240+239+192+192+192</f>
        <v>2877</v>
      </c>
      <c r="F117" s="39"/>
      <c r="G117" s="39"/>
      <c r="H117" s="34"/>
      <c r="I117" s="34"/>
      <c r="J117" s="34"/>
      <c r="K117" s="34"/>
      <c r="L117" s="34"/>
      <c r="M117" s="34"/>
      <c r="N117" s="34"/>
      <c r="O117" s="34"/>
      <c r="P117" s="51"/>
      <c r="Q117" s="51"/>
      <c r="R117" s="39"/>
      <c r="S117" s="39"/>
      <c r="T117" s="39">
        <v>8.90634</v>
      </c>
      <c r="U117" s="39">
        <v>8.90634</v>
      </c>
      <c r="V117" s="39">
        <v>275</v>
      </c>
      <c r="W117" s="39">
        <f>240+35</f>
        <v>275</v>
      </c>
      <c r="X117" s="34"/>
      <c r="Y117" s="34"/>
      <c r="Z117" s="51"/>
      <c r="AA117" s="51"/>
      <c r="AB117" s="34"/>
      <c r="AC117" s="34"/>
      <c r="AD117" s="34"/>
      <c r="AE117" s="34"/>
      <c r="AF117" s="39">
        <v>147</v>
      </c>
      <c r="AG117" s="39">
        <f>12.3+12.3+12.3+12.3+12.3+15.7+11.2+6.7+11.2+11.4+12+17.3</f>
        <v>147.00000000000003</v>
      </c>
      <c r="AH117" s="126">
        <f t="shared" si="65"/>
        <v>3307.90634</v>
      </c>
      <c r="AI117" s="126">
        <f t="shared" si="98"/>
        <v>3307.90634</v>
      </c>
      <c r="AJ117" s="43"/>
      <c r="AK117" s="43"/>
      <c r="AL117" s="134"/>
      <c r="AM117" s="41"/>
      <c r="AN117" s="41"/>
      <c r="AO117" s="41"/>
      <c r="AP117" s="41"/>
      <c r="AQ117" s="41"/>
      <c r="AR117" s="39"/>
      <c r="AS117" s="39"/>
      <c r="AT117" s="43"/>
      <c r="AU117" s="43"/>
      <c r="AV117" s="43"/>
      <c r="AW117" s="43"/>
      <c r="AX117" s="43"/>
      <c r="AY117" s="43"/>
      <c r="AZ117" s="39">
        <f t="shared" si="67"/>
        <v>0</v>
      </c>
      <c r="BA117" s="39">
        <f t="shared" si="61"/>
        <v>0</v>
      </c>
      <c r="BB117" s="39">
        <v>0</v>
      </c>
      <c r="BC117" s="39">
        <v>0</v>
      </c>
      <c r="BD117" s="39">
        <v>71.9</v>
      </c>
      <c r="BE117" s="43">
        <v>43.2</v>
      </c>
      <c r="BF117" s="43"/>
      <c r="BG117" s="43"/>
      <c r="BH117" s="43"/>
      <c r="BI117" s="43"/>
      <c r="BJ117" s="43"/>
      <c r="BK117" s="43"/>
      <c r="BL117" s="43"/>
      <c r="BM117" s="43"/>
      <c r="BN117" s="45"/>
      <c r="BO117" s="45"/>
      <c r="BP117" s="45"/>
      <c r="BQ117" s="45"/>
      <c r="BR117" s="43"/>
      <c r="BS117" s="43"/>
      <c r="BT117" s="43"/>
      <c r="BU117" s="43"/>
      <c r="BV117" s="45"/>
      <c r="BW117" s="45"/>
      <c r="BX117" s="43"/>
      <c r="BY117" s="45"/>
      <c r="BZ117" s="43"/>
      <c r="CA117" s="45"/>
      <c r="CB117" s="45"/>
      <c r="CC117" s="45"/>
      <c r="CD117" s="45"/>
      <c r="CE117" s="45"/>
      <c r="CF117" s="39">
        <f t="shared" si="68"/>
        <v>71.9</v>
      </c>
      <c r="CG117" s="39">
        <f t="shared" si="99"/>
        <v>43.2</v>
      </c>
      <c r="CH117" s="39"/>
      <c r="CI117" s="39"/>
      <c r="CJ117" s="39"/>
      <c r="CK117" s="45"/>
      <c r="CL117" s="45"/>
      <c r="CM117" s="43"/>
      <c r="CN117" s="43"/>
      <c r="CO117" s="43"/>
      <c r="CP117" s="43"/>
      <c r="CQ117" s="39"/>
      <c r="CR117" s="43"/>
      <c r="CS117" s="45"/>
      <c r="CT117" s="45"/>
      <c r="CU117" s="45"/>
      <c r="CV117" s="45"/>
      <c r="CW117" s="43"/>
      <c r="CX117" s="43"/>
      <c r="CY117" s="43"/>
      <c r="CZ117" s="39"/>
      <c r="DA117" s="45"/>
      <c r="DB117" s="43"/>
      <c r="DC117" s="43"/>
      <c r="DD117" s="43"/>
      <c r="DE117" s="43"/>
      <c r="DF117" s="39">
        <f t="shared" si="70"/>
        <v>0</v>
      </c>
      <c r="DG117" s="39">
        <f t="shared" si="100"/>
        <v>0</v>
      </c>
      <c r="DH117" s="39"/>
      <c r="DI117" s="39"/>
      <c r="DJ117" s="39">
        <v>0</v>
      </c>
      <c r="DK117" s="39">
        <f t="shared" si="62"/>
        <v>0</v>
      </c>
      <c r="DL117" s="39"/>
      <c r="DM117" s="39"/>
      <c r="DN117" s="43"/>
      <c r="DO117" s="43"/>
      <c r="DP117" s="39">
        <f t="shared" si="72"/>
        <v>0</v>
      </c>
      <c r="DQ117" s="39">
        <f t="shared" si="63"/>
        <v>0</v>
      </c>
      <c r="DR117" s="39"/>
      <c r="DS117" s="39"/>
      <c r="DT117" s="43"/>
      <c r="DU117" s="43"/>
      <c r="DV117" s="43"/>
      <c r="DW117" s="43"/>
      <c r="DX117" s="43"/>
      <c r="DY117" s="43"/>
      <c r="DZ117" s="39"/>
      <c r="EA117" s="39"/>
      <c r="EB117" s="43"/>
      <c r="EC117" s="43"/>
      <c r="ED117" s="43"/>
      <c r="EE117" s="43"/>
      <c r="EF117" s="39"/>
      <c r="EG117" s="43"/>
      <c r="EH117" s="43"/>
      <c r="EI117" s="45"/>
      <c r="EJ117" s="39"/>
      <c r="EK117" s="43"/>
      <c r="EL117" s="43"/>
      <c r="EM117" s="43"/>
      <c r="EN117" s="45"/>
      <c r="EO117" s="45"/>
      <c r="EP117" s="43"/>
      <c r="EQ117" s="43"/>
      <c r="ER117" s="43"/>
      <c r="ES117" s="43"/>
      <c r="ET117" s="135"/>
      <c r="EU117" s="135"/>
      <c r="EV117" s="135"/>
      <c r="EW117" s="135"/>
      <c r="EX117" s="43"/>
      <c r="EY117" s="43"/>
      <c r="EZ117" s="43"/>
      <c r="FA117" s="43"/>
      <c r="FB117" s="37">
        <f t="shared" si="73"/>
        <v>0</v>
      </c>
      <c r="FC117" s="37">
        <f t="shared" si="101"/>
        <v>0</v>
      </c>
      <c r="FD117" s="39"/>
      <c r="FE117" s="39"/>
      <c r="FF117" s="43"/>
      <c r="FG117" s="43"/>
      <c r="FH117" s="132">
        <f t="shared" si="75"/>
        <v>0</v>
      </c>
      <c r="FI117" s="132">
        <f t="shared" si="64"/>
        <v>0</v>
      </c>
      <c r="FJ117" s="39"/>
      <c r="FK117" s="39"/>
      <c r="FL117" s="43"/>
      <c r="FM117" s="43"/>
      <c r="FN117" s="43"/>
      <c r="FO117" s="43"/>
      <c r="FP117" s="43"/>
      <c r="FQ117" s="43"/>
      <c r="FR117" s="39"/>
      <c r="FS117" s="135"/>
      <c r="FT117" s="43"/>
      <c r="FU117" s="43"/>
      <c r="FV117" s="43"/>
      <c r="FW117" s="43"/>
      <c r="FX117" s="43"/>
      <c r="FY117" s="43"/>
      <c r="FZ117" s="43"/>
      <c r="GA117" s="43"/>
      <c r="GB117" s="43"/>
      <c r="GC117" s="43"/>
      <c r="GD117" s="135"/>
      <c r="GE117" s="135"/>
      <c r="GF117" s="43"/>
      <c r="GG117" s="43"/>
      <c r="GH117" s="43"/>
      <c r="GI117" s="43"/>
      <c r="GJ117" s="43"/>
      <c r="GK117" s="43"/>
      <c r="GL117" s="43"/>
      <c r="GM117" s="43"/>
      <c r="GN117" s="43"/>
      <c r="GO117" s="43"/>
      <c r="GP117" s="43"/>
      <c r="GQ117" s="43"/>
      <c r="GR117" s="43"/>
      <c r="GS117" s="43"/>
      <c r="GT117" s="43"/>
      <c r="GU117" s="43"/>
      <c r="GV117" s="43"/>
      <c r="GW117" s="43"/>
      <c r="GX117" s="45"/>
      <c r="GY117" s="45"/>
      <c r="GZ117" s="43"/>
      <c r="HA117" s="43"/>
      <c r="HB117" s="43"/>
      <c r="HC117" s="43"/>
      <c r="HD117" s="39">
        <f t="shared" si="76"/>
        <v>0</v>
      </c>
      <c r="HE117" s="39">
        <f t="shared" si="102"/>
        <v>0</v>
      </c>
      <c r="HF117" s="39"/>
      <c r="HG117" s="39"/>
      <c r="HH117" s="39"/>
      <c r="HI117" s="43"/>
      <c r="HJ117" s="43"/>
      <c r="HK117" s="43"/>
      <c r="HL117" s="43"/>
      <c r="HM117" s="43"/>
      <c r="HN117" s="136"/>
      <c r="HO117" s="136"/>
      <c r="HP117" s="39">
        <f t="shared" si="78"/>
        <v>0</v>
      </c>
      <c r="HQ117" s="39">
        <f t="shared" si="103"/>
        <v>0</v>
      </c>
      <c r="HR117" s="39"/>
      <c r="HS117" s="39"/>
      <c r="HT117" s="39"/>
      <c r="HU117" s="43"/>
      <c r="HV117" s="39"/>
      <c r="HW117" s="39"/>
      <c r="HX117" s="39">
        <f t="shared" si="80"/>
        <v>0</v>
      </c>
      <c r="HY117" s="39">
        <f t="shared" si="104"/>
        <v>0</v>
      </c>
    </row>
    <row r="118" spans="1:233" ht="12.75" customHeight="1">
      <c r="A118" s="14" t="s">
        <v>270</v>
      </c>
      <c r="B118" s="39"/>
      <c r="C118" s="39"/>
      <c r="D118" s="39">
        <f>493+493+493+411+411+411+411+411+411+328.7+328.7+328.6</f>
        <v>4931</v>
      </c>
      <c r="E118" s="39">
        <f>493+493+493+411+411+411+411+411+411+328.7+328.7+328.6</f>
        <v>4931</v>
      </c>
      <c r="F118" s="39"/>
      <c r="G118" s="39"/>
      <c r="H118" s="34"/>
      <c r="I118" s="34"/>
      <c r="J118" s="34"/>
      <c r="K118" s="34"/>
      <c r="L118" s="34"/>
      <c r="M118" s="34"/>
      <c r="N118" s="34"/>
      <c r="O118" s="34"/>
      <c r="P118" s="51"/>
      <c r="Q118" s="51"/>
      <c r="R118" s="39"/>
      <c r="S118" s="39"/>
      <c r="T118" s="39">
        <v>29.322680000000002</v>
      </c>
      <c r="U118" s="39">
        <v>29.32268</v>
      </c>
      <c r="V118" s="39">
        <v>24</v>
      </c>
      <c r="W118" s="39">
        <v>24</v>
      </c>
      <c r="X118" s="34"/>
      <c r="Y118" s="34"/>
      <c r="Z118" s="51"/>
      <c r="AA118" s="51"/>
      <c r="AB118" s="34"/>
      <c r="AC118" s="34"/>
      <c r="AD118" s="34"/>
      <c r="AE118" s="34"/>
      <c r="AF118" s="39">
        <v>147</v>
      </c>
      <c r="AG118" s="39">
        <f>12.3+12.3+12.3+12.3+12.3+20+10+11.9+10+10+10+13.6</f>
        <v>147</v>
      </c>
      <c r="AH118" s="126">
        <f t="shared" si="65"/>
        <v>5131.32268</v>
      </c>
      <c r="AI118" s="126">
        <f t="shared" si="98"/>
        <v>5131.32268</v>
      </c>
      <c r="AJ118" s="43"/>
      <c r="AK118" s="43"/>
      <c r="AL118" s="134"/>
      <c r="AM118" s="41"/>
      <c r="AN118" s="41"/>
      <c r="AO118" s="41"/>
      <c r="AP118" s="41"/>
      <c r="AQ118" s="41"/>
      <c r="AR118" s="39"/>
      <c r="AS118" s="39"/>
      <c r="AT118" s="43"/>
      <c r="AU118" s="43"/>
      <c r="AV118" s="43"/>
      <c r="AW118" s="43"/>
      <c r="AX118" s="43"/>
      <c r="AY118" s="43"/>
      <c r="AZ118" s="39">
        <f t="shared" si="67"/>
        <v>0</v>
      </c>
      <c r="BA118" s="39">
        <f t="shared" si="61"/>
        <v>0</v>
      </c>
      <c r="BB118" s="39">
        <v>0</v>
      </c>
      <c r="BC118" s="39">
        <v>0</v>
      </c>
      <c r="BD118" s="39">
        <v>307</v>
      </c>
      <c r="BE118" s="43">
        <v>151.03</v>
      </c>
      <c r="BF118" s="43"/>
      <c r="BG118" s="43"/>
      <c r="BH118" s="43"/>
      <c r="BI118" s="43"/>
      <c r="BJ118" s="43"/>
      <c r="BK118" s="43"/>
      <c r="BL118" s="43"/>
      <c r="BM118" s="43"/>
      <c r="BN118" s="45"/>
      <c r="BO118" s="45"/>
      <c r="BP118" s="45"/>
      <c r="BQ118" s="45"/>
      <c r="BR118" s="43"/>
      <c r="BS118" s="43"/>
      <c r="BT118" s="43"/>
      <c r="BU118" s="43"/>
      <c r="BV118" s="45"/>
      <c r="BW118" s="45"/>
      <c r="BX118" s="43"/>
      <c r="BY118" s="45"/>
      <c r="BZ118" s="43"/>
      <c r="CA118" s="45"/>
      <c r="CB118" s="45"/>
      <c r="CC118" s="45"/>
      <c r="CD118" s="45"/>
      <c r="CE118" s="45"/>
      <c r="CF118" s="39">
        <f t="shared" si="68"/>
        <v>307</v>
      </c>
      <c r="CG118" s="39">
        <f t="shared" si="99"/>
        <v>151.03</v>
      </c>
      <c r="CH118" s="39"/>
      <c r="CI118" s="39"/>
      <c r="CJ118" s="39"/>
      <c r="CK118" s="45"/>
      <c r="CL118" s="45"/>
      <c r="CM118" s="43"/>
      <c r="CN118" s="43"/>
      <c r="CO118" s="43"/>
      <c r="CP118" s="43"/>
      <c r="CQ118" s="39"/>
      <c r="CR118" s="43"/>
      <c r="CS118" s="45"/>
      <c r="CT118" s="45"/>
      <c r="CU118" s="45"/>
      <c r="CV118" s="45"/>
      <c r="CW118" s="43"/>
      <c r="CX118" s="43"/>
      <c r="CY118" s="43"/>
      <c r="CZ118" s="39"/>
      <c r="DA118" s="45"/>
      <c r="DB118" s="43"/>
      <c r="DC118" s="43"/>
      <c r="DD118" s="43"/>
      <c r="DE118" s="43"/>
      <c r="DF118" s="39">
        <f t="shared" si="70"/>
        <v>0</v>
      </c>
      <c r="DG118" s="39">
        <f t="shared" si="100"/>
        <v>0</v>
      </c>
      <c r="DH118" s="39"/>
      <c r="DI118" s="39"/>
      <c r="DJ118" s="39">
        <v>0</v>
      </c>
      <c r="DK118" s="39">
        <f t="shared" si="62"/>
        <v>0</v>
      </c>
      <c r="DL118" s="39"/>
      <c r="DM118" s="39"/>
      <c r="DN118" s="43"/>
      <c r="DO118" s="43"/>
      <c r="DP118" s="39">
        <f t="shared" si="72"/>
        <v>0</v>
      </c>
      <c r="DQ118" s="39">
        <f t="shared" si="63"/>
        <v>0</v>
      </c>
      <c r="DR118" s="39"/>
      <c r="DS118" s="39"/>
      <c r="DT118" s="43"/>
      <c r="DU118" s="43"/>
      <c r="DV118" s="43"/>
      <c r="DW118" s="43"/>
      <c r="DX118" s="43"/>
      <c r="DY118" s="43"/>
      <c r="DZ118" s="39"/>
      <c r="EA118" s="39"/>
      <c r="EB118" s="43"/>
      <c r="EC118" s="43"/>
      <c r="ED118" s="43"/>
      <c r="EE118" s="43"/>
      <c r="EF118" s="39"/>
      <c r="EG118" s="43"/>
      <c r="EH118" s="43"/>
      <c r="EI118" s="45"/>
      <c r="EJ118" s="39"/>
      <c r="EK118" s="43"/>
      <c r="EL118" s="43"/>
      <c r="EM118" s="43"/>
      <c r="EN118" s="45"/>
      <c r="EO118" s="45"/>
      <c r="EP118" s="43"/>
      <c r="EQ118" s="43"/>
      <c r="ER118" s="43"/>
      <c r="ES118" s="43"/>
      <c r="ET118" s="135"/>
      <c r="EU118" s="135"/>
      <c r="EV118" s="135"/>
      <c r="EW118" s="135"/>
      <c r="EX118" s="43"/>
      <c r="EY118" s="43"/>
      <c r="EZ118" s="43"/>
      <c r="FA118" s="43"/>
      <c r="FB118" s="37">
        <f t="shared" si="73"/>
        <v>0</v>
      </c>
      <c r="FC118" s="37">
        <f t="shared" si="101"/>
        <v>0</v>
      </c>
      <c r="FD118" s="39"/>
      <c r="FE118" s="39"/>
      <c r="FF118" s="43"/>
      <c r="FG118" s="43"/>
      <c r="FH118" s="132">
        <f t="shared" si="75"/>
        <v>0</v>
      </c>
      <c r="FI118" s="132">
        <f t="shared" si="64"/>
        <v>0</v>
      </c>
      <c r="FJ118" s="39"/>
      <c r="FK118" s="39"/>
      <c r="FL118" s="43"/>
      <c r="FM118" s="43"/>
      <c r="FN118" s="43"/>
      <c r="FO118" s="43"/>
      <c r="FP118" s="43"/>
      <c r="FQ118" s="43"/>
      <c r="FR118" s="39"/>
      <c r="FS118" s="135"/>
      <c r="FT118" s="43"/>
      <c r="FU118" s="43"/>
      <c r="FV118" s="43"/>
      <c r="FW118" s="43"/>
      <c r="FX118" s="43"/>
      <c r="FY118" s="43"/>
      <c r="FZ118" s="43"/>
      <c r="GA118" s="43"/>
      <c r="GB118" s="43"/>
      <c r="GC118" s="43"/>
      <c r="GD118" s="135"/>
      <c r="GE118" s="135"/>
      <c r="GF118" s="43"/>
      <c r="GG118" s="43"/>
      <c r="GH118" s="43"/>
      <c r="GI118" s="43"/>
      <c r="GJ118" s="43"/>
      <c r="GK118" s="43"/>
      <c r="GL118" s="43"/>
      <c r="GM118" s="43"/>
      <c r="GN118" s="43"/>
      <c r="GO118" s="43"/>
      <c r="GP118" s="43"/>
      <c r="GQ118" s="43"/>
      <c r="GR118" s="43"/>
      <c r="GS118" s="43"/>
      <c r="GT118" s="43"/>
      <c r="GU118" s="43"/>
      <c r="GV118" s="43"/>
      <c r="GW118" s="43"/>
      <c r="GX118" s="45"/>
      <c r="GY118" s="45"/>
      <c r="GZ118" s="43"/>
      <c r="HA118" s="43"/>
      <c r="HB118" s="43"/>
      <c r="HC118" s="43"/>
      <c r="HD118" s="39">
        <f t="shared" si="76"/>
        <v>0</v>
      </c>
      <c r="HE118" s="39">
        <f t="shared" si="102"/>
        <v>0</v>
      </c>
      <c r="HF118" s="39"/>
      <c r="HG118" s="39"/>
      <c r="HH118" s="39"/>
      <c r="HI118" s="43"/>
      <c r="HJ118" s="43"/>
      <c r="HK118" s="43"/>
      <c r="HL118" s="43"/>
      <c r="HM118" s="43"/>
      <c r="HN118" s="136"/>
      <c r="HO118" s="136"/>
      <c r="HP118" s="39">
        <f t="shared" si="78"/>
        <v>0</v>
      </c>
      <c r="HQ118" s="39">
        <f t="shared" si="103"/>
        <v>0</v>
      </c>
      <c r="HR118" s="39"/>
      <c r="HS118" s="39"/>
      <c r="HT118" s="39"/>
      <c r="HU118" s="43"/>
      <c r="HV118" s="39"/>
      <c r="HW118" s="39"/>
      <c r="HX118" s="39">
        <f t="shared" si="80"/>
        <v>0</v>
      </c>
      <c r="HY118" s="39">
        <f t="shared" si="104"/>
        <v>0</v>
      </c>
    </row>
    <row r="119" spans="1:233" ht="12.75">
      <c r="A119" s="14" t="s">
        <v>271</v>
      </c>
      <c r="B119" s="39"/>
      <c r="C119" s="39"/>
      <c r="D119" s="39">
        <f>230+230+231+192+192+192+192+192+192+153.3+153.4+153.3</f>
        <v>2303</v>
      </c>
      <c r="E119" s="39">
        <f>230+230+231+192+192+192+192+192+192+153.3+153.4+153.3</f>
        <v>2303</v>
      </c>
      <c r="F119" s="39"/>
      <c r="G119" s="39"/>
      <c r="H119" s="34"/>
      <c r="I119" s="34"/>
      <c r="J119" s="34"/>
      <c r="K119" s="34"/>
      <c r="L119" s="34"/>
      <c r="M119" s="34"/>
      <c r="N119" s="34"/>
      <c r="O119" s="34"/>
      <c r="P119" s="51"/>
      <c r="Q119" s="51"/>
      <c r="R119" s="39"/>
      <c r="S119" s="39"/>
      <c r="T119" s="39">
        <v>23.33718</v>
      </c>
      <c r="U119" s="39">
        <v>23.33718</v>
      </c>
      <c r="V119" s="39"/>
      <c r="W119" s="39"/>
      <c r="X119" s="34"/>
      <c r="Y119" s="34"/>
      <c r="Z119" s="51"/>
      <c r="AA119" s="51"/>
      <c r="AB119" s="34"/>
      <c r="AC119" s="34"/>
      <c r="AD119" s="34"/>
      <c r="AE119" s="34"/>
      <c r="AF119" s="39">
        <v>147</v>
      </c>
      <c r="AG119" s="39">
        <f>12.3+12.3+12.3+12.3+12.3+11.2+21+2.5+10+15+13+12.8</f>
        <v>147</v>
      </c>
      <c r="AH119" s="126">
        <f t="shared" si="65"/>
        <v>2473.33718</v>
      </c>
      <c r="AI119" s="126">
        <f t="shared" si="98"/>
        <v>2473.33718</v>
      </c>
      <c r="AJ119" s="43"/>
      <c r="AK119" s="43"/>
      <c r="AL119" s="134"/>
      <c r="AM119" s="41"/>
      <c r="AN119" s="41"/>
      <c r="AO119" s="41"/>
      <c r="AP119" s="41"/>
      <c r="AQ119" s="41"/>
      <c r="AR119" s="39"/>
      <c r="AS119" s="39"/>
      <c r="AT119" s="43"/>
      <c r="AU119" s="43"/>
      <c r="AV119" s="43"/>
      <c r="AW119" s="43"/>
      <c r="AX119" s="43"/>
      <c r="AY119" s="43"/>
      <c r="AZ119" s="39">
        <f t="shared" si="67"/>
        <v>0</v>
      </c>
      <c r="BA119" s="39">
        <f t="shared" si="61"/>
        <v>0</v>
      </c>
      <c r="BB119" s="39">
        <v>0</v>
      </c>
      <c r="BC119" s="39">
        <v>0</v>
      </c>
      <c r="BD119" s="39">
        <v>63.8</v>
      </c>
      <c r="BE119" s="43">
        <v>63.8</v>
      </c>
      <c r="BF119" s="43"/>
      <c r="BG119" s="43"/>
      <c r="BH119" s="43"/>
      <c r="BI119" s="43"/>
      <c r="BJ119" s="43"/>
      <c r="BK119" s="43"/>
      <c r="BL119" s="43"/>
      <c r="BM119" s="43"/>
      <c r="BN119" s="45"/>
      <c r="BO119" s="45"/>
      <c r="BP119" s="45"/>
      <c r="BQ119" s="45"/>
      <c r="BR119" s="43"/>
      <c r="BS119" s="43"/>
      <c r="BT119" s="43"/>
      <c r="BU119" s="43"/>
      <c r="BV119" s="45"/>
      <c r="BW119" s="45"/>
      <c r="BX119" s="43"/>
      <c r="BY119" s="45"/>
      <c r="BZ119" s="43"/>
      <c r="CA119" s="45"/>
      <c r="CB119" s="45"/>
      <c r="CC119" s="45"/>
      <c r="CD119" s="45"/>
      <c r="CE119" s="45"/>
      <c r="CF119" s="39">
        <f t="shared" si="68"/>
        <v>63.8</v>
      </c>
      <c r="CG119" s="39">
        <f t="shared" si="99"/>
        <v>63.8</v>
      </c>
      <c r="CH119" s="39"/>
      <c r="CI119" s="39"/>
      <c r="CJ119" s="39"/>
      <c r="CK119" s="45"/>
      <c r="CL119" s="45"/>
      <c r="CM119" s="43"/>
      <c r="CN119" s="43"/>
      <c r="CO119" s="43"/>
      <c r="CP119" s="43"/>
      <c r="CQ119" s="39"/>
      <c r="CR119" s="43"/>
      <c r="CS119" s="45"/>
      <c r="CT119" s="45"/>
      <c r="CU119" s="45"/>
      <c r="CV119" s="45"/>
      <c r="CW119" s="43"/>
      <c r="CX119" s="43"/>
      <c r="CY119" s="43"/>
      <c r="CZ119" s="39"/>
      <c r="DA119" s="45"/>
      <c r="DB119" s="43"/>
      <c r="DC119" s="43"/>
      <c r="DD119" s="43"/>
      <c r="DE119" s="43"/>
      <c r="DF119" s="39">
        <f t="shared" si="70"/>
        <v>0</v>
      </c>
      <c r="DG119" s="39">
        <f t="shared" si="100"/>
        <v>0</v>
      </c>
      <c r="DH119" s="39"/>
      <c r="DI119" s="39"/>
      <c r="DJ119" s="39">
        <v>0</v>
      </c>
      <c r="DK119" s="39">
        <f t="shared" si="62"/>
        <v>0</v>
      </c>
      <c r="DL119" s="39"/>
      <c r="DM119" s="39"/>
      <c r="DN119" s="43"/>
      <c r="DO119" s="43"/>
      <c r="DP119" s="39">
        <f t="shared" si="72"/>
        <v>0</v>
      </c>
      <c r="DQ119" s="39">
        <f t="shared" si="63"/>
        <v>0</v>
      </c>
      <c r="DR119" s="39"/>
      <c r="DS119" s="39"/>
      <c r="DT119" s="43"/>
      <c r="DU119" s="43"/>
      <c r="DV119" s="43"/>
      <c r="DW119" s="43"/>
      <c r="DX119" s="43"/>
      <c r="DY119" s="43"/>
      <c r="DZ119" s="39"/>
      <c r="EA119" s="39"/>
      <c r="EB119" s="43"/>
      <c r="EC119" s="43"/>
      <c r="ED119" s="43"/>
      <c r="EE119" s="43"/>
      <c r="EF119" s="39"/>
      <c r="EG119" s="43"/>
      <c r="EH119" s="43"/>
      <c r="EI119" s="45"/>
      <c r="EJ119" s="39"/>
      <c r="EK119" s="43"/>
      <c r="EL119" s="43"/>
      <c r="EM119" s="43"/>
      <c r="EN119" s="45"/>
      <c r="EO119" s="45"/>
      <c r="EP119" s="43"/>
      <c r="EQ119" s="43"/>
      <c r="ER119" s="43"/>
      <c r="ES119" s="43"/>
      <c r="ET119" s="135"/>
      <c r="EU119" s="135"/>
      <c r="EV119" s="135"/>
      <c r="EW119" s="135"/>
      <c r="EX119" s="43"/>
      <c r="EY119" s="43"/>
      <c r="EZ119" s="43"/>
      <c r="FA119" s="43"/>
      <c r="FB119" s="37">
        <f t="shared" si="73"/>
        <v>0</v>
      </c>
      <c r="FC119" s="37">
        <f t="shared" si="101"/>
        <v>0</v>
      </c>
      <c r="FD119" s="39"/>
      <c r="FE119" s="39"/>
      <c r="FF119" s="43"/>
      <c r="FG119" s="43"/>
      <c r="FH119" s="132">
        <f t="shared" si="75"/>
        <v>0</v>
      </c>
      <c r="FI119" s="132">
        <f t="shared" si="64"/>
        <v>0</v>
      </c>
      <c r="FJ119" s="39"/>
      <c r="FK119" s="39"/>
      <c r="FL119" s="43"/>
      <c r="FM119" s="43"/>
      <c r="FN119" s="43"/>
      <c r="FO119" s="43"/>
      <c r="FP119" s="43"/>
      <c r="FQ119" s="43"/>
      <c r="FR119" s="39"/>
      <c r="FS119" s="135"/>
      <c r="FT119" s="43"/>
      <c r="FU119" s="43"/>
      <c r="FV119" s="43"/>
      <c r="FW119" s="43"/>
      <c r="FX119" s="43"/>
      <c r="FY119" s="43"/>
      <c r="FZ119" s="43"/>
      <c r="GA119" s="43"/>
      <c r="GB119" s="43"/>
      <c r="GC119" s="43"/>
      <c r="GD119" s="135"/>
      <c r="GE119" s="135"/>
      <c r="GF119" s="43"/>
      <c r="GG119" s="43"/>
      <c r="GH119" s="43"/>
      <c r="GI119" s="43"/>
      <c r="GJ119" s="43"/>
      <c r="GK119" s="43"/>
      <c r="GL119" s="43"/>
      <c r="GM119" s="43"/>
      <c r="GN119" s="43"/>
      <c r="GO119" s="43"/>
      <c r="GP119" s="43"/>
      <c r="GQ119" s="43"/>
      <c r="GR119" s="43"/>
      <c r="GS119" s="43"/>
      <c r="GT119" s="43"/>
      <c r="GU119" s="43"/>
      <c r="GV119" s="43"/>
      <c r="GW119" s="43"/>
      <c r="GX119" s="45"/>
      <c r="GY119" s="45"/>
      <c r="GZ119" s="43"/>
      <c r="HA119" s="43"/>
      <c r="HB119" s="43"/>
      <c r="HC119" s="43"/>
      <c r="HD119" s="39">
        <f t="shared" si="76"/>
        <v>0</v>
      </c>
      <c r="HE119" s="39">
        <f t="shared" si="102"/>
        <v>0</v>
      </c>
      <c r="HF119" s="39"/>
      <c r="HG119" s="39"/>
      <c r="HH119" s="39"/>
      <c r="HI119" s="43"/>
      <c r="HJ119" s="43"/>
      <c r="HK119" s="43"/>
      <c r="HL119" s="43"/>
      <c r="HM119" s="43"/>
      <c r="HN119" s="136"/>
      <c r="HO119" s="136"/>
      <c r="HP119" s="39">
        <f t="shared" si="78"/>
        <v>0</v>
      </c>
      <c r="HQ119" s="39">
        <f t="shared" si="103"/>
        <v>0</v>
      </c>
      <c r="HR119" s="39"/>
      <c r="HS119" s="39"/>
      <c r="HT119" s="39"/>
      <c r="HU119" s="43"/>
      <c r="HV119" s="39"/>
      <c r="HW119" s="39"/>
      <c r="HX119" s="39">
        <f t="shared" si="80"/>
        <v>0</v>
      </c>
      <c r="HY119" s="39">
        <f t="shared" si="104"/>
        <v>0</v>
      </c>
    </row>
    <row r="120" spans="1:233" ht="12.75" customHeight="1">
      <c r="A120" s="14" t="s">
        <v>272</v>
      </c>
      <c r="B120" s="39"/>
      <c r="C120" s="39"/>
      <c r="D120" s="39">
        <f>213+213+212+177+177+177+177+177+177+141.7+141.7+141.6</f>
        <v>2125</v>
      </c>
      <c r="E120" s="39">
        <f>213+213+212+177+177+177+177+177+177+141.7+141.7+141.6</f>
        <v>2125</v>
      </c>
      <c r="F120" s="39"/>
      <c r="G120" s="39"/>
      <c r="H120" s="34"/>
      <c r="I120" s="34"/>
      <c r="J120" s="34"/>
      <c r="K120" s="34"/>
      <c r="L120" s="34"/>
      <c r="M120" s="34"/>
      <c r="N120" s="34"/>
      <c r="O120" s="34"/>
      <c r="P120" s="51"/>
      <c r="Q120" s="51"/>
      <c r="R120" s="39"/>
      <c r="S120" s="39"/>
      <c r="T120" s="39">
        <v>4.92382</v>
      </c>
      <c r="U120" s="39">
        <v>4.92382</v>
      </c>
      <c r="V120" s="39">
        <v>32</v>
      </c>
      <c r="W120" s="39">
        <f>32</f>
        <v>32</v>
      </c>
      <c r="X120" s="34"/>
      <c r="Y120" s="34"/>
      <c r="Z120" s="51"/>
      <c r="AA120" s="51"/>
      <c r="AB120" s="34"/>
      <c r="AC120" s="34"/>
      <c r="AD120" s="34"/>
      <c r="AE120" s="34"/>
      <c r="AF120" s="39">
        <v>73</v>
      </c>
      <c r="AG120" s="39">
        <f>6.1+6.1+6.1+6.1+6.1+4.6+2+4.6+10.2+11+10.1</f>
        <v>73</v>
      </c>
      <c r="AH120" s="126">
        <f t="shared" si="65"/>
        <v>2234.92382</v>
      </c>
      <c r="AI120" s="126">
        <f t="shared" si="98"/>
        <v>2234.92382</v>
      </c>
      <c r="AJ120" s="43"/>
      <c r="AK120" s="43"/>
      <c r="AL120" s="134"/>
      <c r="AM120" s="41"/>
      <c r="AN120" s="41"/>
      <c r="AO120" s="41"/>
      <c r="AP120" s="41"/>
      <c r="AQ120" s="41"/>
      <c r="AR120" s="39"/>
      <c r="AS120" s="39"/>
      <c r="AT120" s="43"/>
      <c r="AU120" s="43"/>
      <c r="AV120" s="43"/>
      <c r="AW120" s="43"/>
      <c r="AX120" s="43"/>
      <c r="AY120" s="43"/>
      <c r="AZ120" s="39">
        <f t="shared" si="67"/>
        <v>0</v>
      </c>
      <c r="BA120" s="39">
        <f t="shared" si="61"/>
        <v>0</v>
      </c>
      <c r="BB120" s="39">
        <v>0</v>
      </c>
      <c r="BC120" s="39">
        <v>0</v>
      </c>
      <c r="BD120" s="39">
        <v>138.08</v>
      </c>
      <c r="BE120" s="43">
        <v>138.077</v>
      </c>
      <c r="BF120" s="43"/>
      <c r="BG120" s="43"/>
      <c r="BH120" s="43"/>
      <c r="BI120" s="43"/>
      <c r="BJ120" s="43"/>
      <c r="BK120" s="43"/>
      <c r="BL120" s="43"/>
      <c r="BM120" s="43"/>
      <c r="BN120" s="45"/>
      <c r="BO120" s="45"/>
      <c r="BP120" s="45"/>
      <c r="BQ120" s="45"/>
      <c r="BR120" s="43"/>
      <c r="BS120" s="43"/>
      <c r="BT120" s="43"/>
      <c r="BU120" s="43"/>
      <c r="BV120" s="45"/>
      <c r="BW120" s="45"/>
      <c r="BX120" s="43"/>
      <c r="BY120" s="45"/>
      <c r="BZ120" s="43"/>
      <c r="CA120" s="45"/>
      <c r="CB120" s="45"/>
      <c r="CC120" s="45"/>
      <c r="CD120" s="45"/>
      <c r="CE120" s="45"/>
      <c r="CF120" s="39">
        <f t="shared" si="68"/>
        <v>138.08</v>
      </c>
      <c r="CG120" s="39">
        <f t="shared" si="99"/>
        <v>138.077</v>
      </c>
      <c r="CH120" s="39"/>
      <c r="CI120" s="39"/>
      <c r="CJ120" s="39"/>
      <c r="CK120" s="45"/>
      <c r="CL120" s="45"/>
      <c r="CM120" s="43"/>
      <c r="CN120" s="43"/>
      <c r="CO120" s="43"/>
      <c r="CP120" s="43"/>
      <c r="CQ120" s="39"/>
      <c r="CR120" s="43"/>
      <c r="CS120" s="45"/>
      <c r="CT120" s="45"/>
      <c r="CU120" s="45"/>
      <c r="CV120" s="45"/>
      <c r="CW120" s="43"/>
      <c r="CX120" s="43"/>
      <c r="CY120" s="43"/>
      <c r="CZ120" s="39"/>
      <c r="DA120" s="45"/>
      <c r="DB120" s="43"/>
      <c r="DC120" s="43"/>
      <c r="DD120" s="43"/>
      <c r="DE120" s="43"/>
      <c r="DF120" s="39">
        <f t="shared" si="70"/>
        <v>0</v>
      </c>
      <c r="DG120" s="39">
        <f t="shared" si="100"/>
        <v>0</v>
      </c>
      <c r="DH120" s="39"/>
      <c r="DI120" s="39"/>
      <c r="DJ120" s="39">
        <v>0</v>
      </c>
      <c r="DK120" s="39">
        <f t="shared" si="62"/>
        <v>0</v>
      </c>
      <c r="DL120" s="39"/>
      <c r="DM120" s="39"/>
      <c r="DN120" s="43"/>
      <c r="DO120" s="43"/>
      <c r="DP120" s="39">
        <f t="shared" si="72"/>
        <v>0</v>
      </c>
      <c r="DQ120" s="39">
        <f t="shared" si="63"/>
        <v>0</v>
      </c>
      <c r="DR120" s="39"/>
      <c r="DS120" s="39"/>
      <c r="DT120" s="43"/>
      <c r="DU120" s="43"/>
      <c r="DV120" s="43"/>
      <c r="DW120" s="43"/>
      <c r="DX120" s="43"/>
      <c r="DY120" s="43"/>
      <c r="DZ120" s="39"/>
      <c r="EA120" s="39"/>
      <c r="EB120" s="43"/>
      <c r="EC120" s="43"/>
      <c r="ED120" s="43"/>
      <c r="EE120" s="43"/>
      <c r="EF120" s="39"/>
      <c r="EG120" s="43"/>
      <c r="EH120" s="43"/>
      <c r="EI120" s="45"/>
      <c r="EJ120" s="39"/>
      <c r="EK120" s="43"/>
      <c r="EL120" s="43"/>
      <c r="EM120" s="43"/>
      <c r="EN120" s="45"/>
      <c r="EO120" s="45"/>
      <c r="EP120" s="43"/>
      <c r="EQ120" s="43"/>
      <c r="ER120" s="43"/>
      <c r="ES120" s="43"/>
      <c r="ET120" s="135"/>
      <c r="EU120" s="135"/>
      <c r="EV120" s="135"/>
      <c r="EW120" s="135"/>
      <c r="EX120" s="43"/>
      <c r="EY120" s="43"/>
      <c r="EZ120" s="43"/>
      <c r="FA120" s="43"/>
      <c r="FB120" s="37">
        <f t="shared" si="73"/>
        <v>0</v>
      </c>
      <c r="FC120" s="37">
        <f t="shared" si="101"/>
        <v>0</v>
      </c>
      <c r="FD120" s="39"/>
      <c r="FE120" s="39"/>
      <c r="FF120" s="43"/>
      <c r="FG120" s="43"/>
      <c r="FH120" s="132">
        <f t="shared" si="75"/>
        <v>0</v>
      </c>
      <c r="FI120" s="132">
        <f t="shared" si="64"/>
        <v>0</v>
      </c>
      <c r="FJ120" s="39"/>
      <c r="FK120" s="39"/>
      <c r="FL120" s="43"/>
      <c r="FM120" s="43"/>
      <c r="FN120" s="43"/>
      <c r="FO120" s="43"/>
      <c r="FP120" s="43"/>
      <c r="FQ120" s="43"/>
      <c r="FR120" s="39"/>
      <c r="FS120" s="135"/>
      <c r="FT120" s="43"/>
      <c r="FU120" s="43"/>
      <c r="FV120" s="43"/>
      <c r="FW120" s="43"/>
      <c r="FX120" s="43"/>
      <c r="FY120" s="43"/>
      <c r="FZ120" s="43"/>
      <c r="GA120" s="43"/>
      <c r="GB120" s="43"/>
      <c r="GC120" s="43"/>
      <c r="GD120" s="135"/>
      <c r="GE120" s="135"/>
      <c r="GF120" s="43"/>
      <c r="GG120" s="43"/>
      <c r="GH120" s="43"/>
      <c r="GI120" s="43"/>
      <c r="GJ120" s="43"/>
      <c r="GK120" s="43"/>
      <c r="GL120" s="43"/>
      <c r="GM120" s="43"/>
      <c r="GN120" s="43"/>
      <c r="GO120" s="43"/>
      <c r="GP120" s="43"/>
      <c r="GQ120" s="43"/>
      <c r="GR120" s="43"/>
      <c r="GS120" s="43"/>
      <c r="GT120" s="43"/>
      <c r="GU120" s="43"/>
      <c r="GV120" s="43"/>
      <c r="GW120" s="43"/>
      <c r="GX120" s="45"/>
      <c r="GY120" s="45"/>
      <c r="GZ120" s="43"/>
      <c r="HA120" s="43"/>
      <c r="HB120" s="43"/>
      <c r="HC120" s="43"/>
      <c r="HD120" s="39">
        <f t="shared" si="76"/>
        <v>0</v>
      </c>
      <c r="HE120" s="39">
        <f t="shared" si="102"/>
        <v>0</v>
      </c>
      <c r="HF120" s="39"/>
      <c r="HG120" s="39"/>
      <c r="HH120" s="39"/>
      <c r="HI120" s="43"/>
      <c r="HJ120" s="43"/>
      <c r="HK120" s="43"/>
      <c r="HL120" s="43"/>
      <c r="HM120" s="43"/>
      <c r="HN120" s="136"/>
      <c r="HO120" s="136"/>
      <c r="HP120" s="39">
        <f t="shared" si="78"/>
        <v>0</v>
      </c>
      <c r="HQ120" s="39">
        <f t="shared" si="103"/>
        <v>0</v>
      </c>
      <c r="HR120" s="39"/>
      <c r="HS120" s="39"/>
      <c r="HT120" s="39"/>
      <c r="HU120" s="43"/>
      <c r="HV120" s="39"/>
      <c r="HW120" s="39"/>
      <c r="HX120" s="39">
        <f t="shared" si="80"/>
        <v>0</v>
      </c>
      <c r="HY120" s="39">
        <f t="shared" si="104"/>
        <v>0</v>
      </c>
    </row>
    <row r="121" spans="1:233" ht="12.75">
      <c r="A121" s="13" t="s">
        <v>126</v>
      </c>
      <c r="B121" s="39">
        <f>SUM(B122:B134)</f>
        <v>21536</v>
      </c>
      <c r="C121" s="39">
        <f aca="true" t="shared" si="109" ref="C121:BN121">SUM(C122:C134)</f>
        <v>21536</v>
      </c>
      <c r="D121" s="39">
        <f t="shared" si="109"/>
        <v>21691</v>
      </c>
      <c r="E121" s="39">
        <f t="shared" si="109"/>
        <v>21691</v>
      </c>
      <c r="F121" s="39">
        <f t="shared" si="109"/>
        <v>85141</v>
      </c>
      <c r="G121" s="39">
        <f t="shared" si="109"/>
        <v>85141</v>
      </c>
      <c r="H121" s="39">
        <f t="shared" si="109"/>
        <v>0</v>
      </c>
      <c r="I121" s="39">
        <f t="shared" si="109"/>
        <v>0</v>
      </c>
      <c r="J121" s="39">
        <f t="shared" si="109"/>
        <v>0</v>
      </c>
      <c r="K121" s="39">
        <f t="shared" si="109"/>
        <v>0</v>
      </c>
      <c r="L121" s="39">
        <f t="shared" si="109"/>
        <v>0</v>
      </c>
      <c r="M121" s="39">
        <f t="shared" si="109"/>
        <v>0</v>
      </c>
      <c r="N121" s="39">
        <f t="shared" si="109"/>
        <v>0</v>
      </c>
      <c r="O121" s="39">
        <f t="shared" si="109"/>
        <v>0</v>
      </c>
      <c r="P121" s="39">
        <f t="shared" si="109"/>
        <v>0</v>
      </c>
      <c r="Q121" s="39">
        <f t="shared" si="109"/>
        <v>0</v>
      </c>
      <c r="R121" s="39">
        <f t="shared" si="109"/>
        <v>3055</v>
      </c>
      <c r="S121" s="39">
        <f t="shared" si="109"/>
        <v>3040.8304700000003</v>
      </c>
      <c r="T121" s="39">
        <f t="shared" si="109"/>
        <v>12052.754819999998</v>
      </c>
      <c r="U121" s="39">
        <f t="shared" si="109"/>
        <v>12052.754819999998</v>
      </c>
      <c r="V121" s="39">
        <f t="shared" si="109"/>
        <v>310</v>
      </c>
      <c r="W121" s="39">
        <f t="shared" si="109"/>
        <v>310</v>
      </c>
      <c r="X121" s="39">
        <f t="shared" si="109"/>
        <v>0</v>
      </c>
      <c r="Y121" s="39">
        <f t="shared" si="109"/>
        <v>0</v>
      </c>
      <c r="Z121" s="39">
        <f t="shared" si="109"/>
        <v>0</v>
      </c>
      <c r="AA121" s="39">
        <f t="shared" si="109"/>
        <v>0</v>
      </c>
      <c r="AB121" s="39">
        <f t="shared" si="109"/>
        <v>10242</v>
      </c>
      <c r="AC121" s="39">
        <f t="shared" si="109"/>
        <v>10242</v>
      </c>
      <c r="AD121" s="39">
        <f t="shared" si="109"/>
        <v>1982</v>
      </c>
      <c r="AE121" s="39">
        <f t="shared" si="109"/>
        <v>1982</v>
      </c>
      <c r="AF121" s="39">
        <f t="shared" si="109"/>
        <v>1370.1</v>
      </c>
      <c r="AG121" s="39">
        <f t="shared" si="109"/>
        <v>1370.1</v>
      </c>
      <c r="AH121" s="39">
        <f t="shared" si="109"/>
        <v>157379.85482</v>
      </c>
      <c r="AI121" s="39">
        <f t="shared" si="109"/>
        <v>157365.68529</v>
      </c>
      <c r="AJ121" s="39">
        <f t="shared" si="109"/>
        <v>690</v>
      </c>
      <c r="AK121" s="39">
        <f t="shared" si="109"/>
        <v>690</v>
      </c>
      <c r="AL121" s="39">
        <f t="shared" si="109"/>
        <v>0</v>
      </c>
      <c r="AM121" s="39">
        <f t="shared" si="109"/>
        <v>0</v>
      </c>
      <c r="AN121" s="39">
        <f t="shared" si="109"/>
        <v>0</v>
      </c>
      <c r="AO121" s="39">
        <f t="shared" si="109"/>
        <v>0</v>
      </c>
      <c r="AP121" s="39">
        <f t="shared" si="109"/>
        <v>0</v>
      </c>
      <c r="AQ121" s="39">
        <f t="shared" si="109"/>
        <v>0</v>
      </c>
      <c r="AR121" s="39">
        <f t="shared" si="109"/>
        <v>1901</v>
      </c>
      <c r="AS121" s="39">
        <f t="shared" si="109"/>
        <v>1901</v>
      </c>
      <c r="AT121" s="39">
        <f t="shared" si="109"/>
        <v>20</v>
      </c>
      <c r="AU121" s="39">
        <f t="shared" si="109"/>
        <v>20</v>
      </c>
      <c r="AV121" s="39">
        <f t="shared" si="109"/>
        <v>200</v>
      </c>
      <c r="AW121" s="39">
        <f t="shared" si="109"/>
        <v>200</v>
      </c>
      <c r="AX121" s="39">
        <f t="shared" si="109"/>
        <v>0</v>
      </c>
      <c r="AY121" s="39">
        <f t="shared" si="109"/>
        <v>0</v>
      </c>
      <c r="AZ121" s="39">
        <f t="shared" si="109"/>
        <v>2811</v>
      </c>
      <c r="BA121" s="39">
        <f t="shared" si="109"/>
        <v>2811</v>
      </c>
      <c r="BB121" s="39">
        <f t="shared" si="109"/>
        <v>3404</v>
      </c>
      <c r="BC121" s="39">
        <f t="shared" si="109"/>
        <v>3404</v>
      </c>
      <c r="BD121" s="39">
        <f t="shared" si="109"/>
        <v>1055.5</v>
      </c>
      <c r="BE121" s="39">
        <f t="shared" si="109"/>
        <v>1051.387</v>
      </c>
      <c r="BF121" s="39">
        <f t="shared" si="109"/>
        <v>0</v>
      </c>
      <c r="BG121" s="39">
        <f t="shared" si="109"/>
        <v>0</v>
      </c>
      <c r="BH121" s="39">
        <f t="shared" si="109"/>
        <v>0</v>
      </c>
      <c r="BI121" s="39">
        <f t="shared" si="109"/>
        <v>0</v>
      </c>
      <c r="BJ121" s="39">
        <f t="shared" si="109"/>
        <v>0</v>
      </c>
      <c r="BK121" s="39">
        <f t="shared" si="109"/>
        <v>0</v>
      </c>
      <c r="BL121" s="39">
        <f t="shared" si="109"/>
        <v>3744</v>
      </c>
      <c r="BM121" s="39">
        <f t="shared" si="109"/>
        <v>3053</v>
      </c>
      <c r="BN121" s="39">
        <f t="shared" si="109"/>
        <v>432</v>
      </c>
      <c r="BO121" s="39">
        <f aca="true" t="shared" si="110" ref="BO121:DZ121">SUM(BO122:BO134)</f>
        <v>432</v>
      </c>
      <c r="BP121" s="39">
        <f t="shared" si="110"/>
        <v>692.61</v>
      </c>
      <c r="BQ121" s="39">
        <f t="shared" si="110"/>
        <v>226.743</v>
      </c>
      <c r="BR121" s="39">
        <f t="shared" si="110"/>
        <v>0</v>
      </c>
      <c r="BS121" s="39">
        <f t="shared" si="110"/>
        <v>0</v>
      </c>
      <c r="BT121" s="39">
        <f t="shared" si="110"/>
        <v>659.7</v>
      </c>
      <c r="BU121" s="39">
        <f t="shared" si="110"/>
        <v>659.7</v>
      </c>
      <c r="BV121" s="39">
        <f t="shared" si="110"/>
        <v>1182.978</v>
      </c>
      <c r="BW121" s="39">
        <f t="shared" si="110"/>
        <v>927.478</v>
      </c>
      <c r="BX121" s="39">
        <f t="shared" si="110"/>
        <v>0</v>
      </c>
      <c r="BY121" s="39">
        <f t="shared" si="110"/>
        <v>0</v>
      </c>
      <c r="BZ121" s="39">
        <f t="shared" si="110"/>
        <v>0</v>
      </c>
      <c r="CA121" s="39">
        <f t="shared" si="110"/>
        <v>0</v>
      </c>
      <c r="CB121" s="39">
        <f t="shared" si="110"/>
        <v>1150.74</v>
      </c>
      <c r="CC121" s="39">
        <f t="shared" si="110"/>
        <v>1150.74</v>
      </c>
      <c r="CD121" s="39">
        <f t="shared" si="110"/>
        <v>0</v>
      </c>
      <c r="CE121" s="39">
        <f t="shared" si="110"/>
        <v>0</v>
      </c>
      <c r="CF121" s="39">
        <f t="shared" si="110"/>
        <v>8917.527999999998</v>
      </c>
      <c r="CG121" s="39">
        <f t="shared" si="110"/>
        <v>7501.047999999999</v>
      </c>
      <c r="CH121" s="39">
        <f t="shared" si="110"/>
        <v>62065.51744</v>
      </c>
      <c r="CI121" s="39">
        <f t="shared" si="110"/>
        <v>54520.860160000004</v>
      </c>
      <c r="CJ121" s="39">
        <f t="shared" si="110"/>
        <v>33010.91767</v>
      </c>
      <c r="CK121" s="39">
        <f t="shared" si="110"/>
        <v>30601.679790000002</v>
      </c>
      <c r="CL121" s="39">
        <f t="shared" si="110"/>
        <v>0</v>
      </c>
      <c r="CM121" s="39">
        <f t="shared" si="110"/>
        <v>0</v>
      </c>
      <c r="CN121" s="39">
        <f t="shared" si="110"/>
        <v>0</v>
      </c>
      <c r="CO121" s="39">
        <f t="shared" si="110"/>
        <v>0</v>
      </c>
      <c r="CP121" s="39">
        <f t="shared" si="110"/>
        <v>0</v>
      </c>
      <c r="CQ121" s="39">
        <f t="shared" si="110"/>
        <v>0</v>
      </c>
      <c r="CR121" s="39">
        <f t="shared" si="110"/>
        <v>0</v>
      </c>
      <c r="CS121" s="39">
        <f t="shared" si="110"/>
        <v>0</v>
      </c>
      <c r="CT121" s="39">
        <f t="shared" si="110"/>
        <v>0</v>
      </c>
      <c r="CU121" s="39">
        <f t="shared" si="110"/>
        <v>0</v>
      </c>
      <c r="CV121" s="39">
        <f t="shared" si="110"/>
        <v>0</v>
      </c>
      <c r="CW121" s="39">
        <f t="shared" si="110"/>
        <v>0</v>
      </c>
      <c r="CX121" s="39">
        <f t="shared" si="110"/>
        <v>0</v>
      </c>
      <c r="CY121" s="39">
        <f t="shared" si="110"/>
        <v>0</v>
      </c>
      <c r="CZ121" s="39">
        <f t="shared" si="110"/>
        <v>713.012</v>
      </c>
      <c r="DA121" s="39">
        <f t="shared" si="110"/>
        <v>710.623</v>
      </c>
      <c r="DB121" s="39">
        <f t="shared" si="110"/>
        <v>0</v>
      </c>
      <c r="DC121" s="39">
        <f t="shared" si="110"/>
        <v>0</v>
      </c>
      <c r="DD121" s="39">
        <f t="shared" si="110"/>
        <v>0</v>
      </c>
      <c r="DE121" s="39">
        <f t="shared" si="110"/>
        <v>0</v>
      </c>
      <c r="DF121" s="39">
        <f t="shared" si="110"/>
        <v>95789.44711000001</v>
      </c>
      <c r="DG121" s="39">
        <f t="shared" si="110"/>
        <v>85833.16295000001</v>
      </c>
      <c r="DH121" s="39">
        <f t="shared" si="110"/>
        <v>1113.28</v>
      </c>
      <c r="DI121" s="39">
        <f t="shared" si="110"/>
        <v>1113.28</v>
      </c>
      <c r="DJ121" s="39">
        <f t="shared" si="110"/>
        <v>1113.28</v>
      </c>
      <c r="DK121" s="39">
        <f t="shared" si="110"/>
        <v>1113.28</v>
      </c>
      <c r="DL121" s="39">
        <f t="shared" si="110"/>
        <v>0</v>
      </c>
      <c r="DM121" s="39">
        <f t="shared" si="110"/>
        <v>0</v>
      </c>
      <c r="DN121" s="39">
        <f t="shared" si="110"/>
        <v>0</v>
      </c>
      <c r="DO121" s="39">
        <f t="shared" si="110"/>
        <v>0</v>
      </c>
      <c r="DP121" s="39">
        <f t="shared" si="110"/>
        <v>0</v>
      </c>
      <c r="DQ121" s="39">
        <f t="shared" si="110"/>
        <v>0</v>
      </c>
      <c r="DR121" s="39">
        <f t="shared" si="110"/>
        <v>0</v>
      </c>
      <c r="DS121" s="39">
        <f t="shared" si="110"/>
        <v>0</v>
      </c>
      <c r="DT121" s="39">
        <f t="shared" si="110"/>
        <v>0</v>
      </c>
      <c r="DU121" s="39">
        <f t="shared" si="110"/>
        <v>0</v>
      </c>
      <c r="DV121" s="39">
        <f t="shared" si="110"/>
        <v>0</v>
      </c>
      <c r="DW121" s="39">
        <f t="shared" si="110"/>
        <v>0</v>
      </c>
      <c r="DX121" s="39">
        <f t="shared" si="110"/>
        <v>0</v>
      </c>
      <c r="DY121" s="39">
        <f t="shared" si="110"/>
        <v>0</v>
      </c>
      <c r="DZ121" s="39">
        <f t="shared" si="110"/>
        <v>0</v>
      </c>
      <c r="EA121" s="39">
        <f aca="true" t="shared" si="111" ref="EA121:GL121">SUM(EA122:EA134)</f>
        <v>0</v>
      </c>
      <c r="EB121" s="39">
        <f t="shared" si="111"/>
        <v>0</v>
      </c>
      <c r="EC121" s="39">
        <f t="shared" si="111"/>
        <v>0</v>
      </c>
      <c r="ED121" s="39">
        <f t="shared" si="111"/>
        <v>0</v>
      </c>
      <c r="EE121" s="39">
        <f t="shared" si="111"/>
        <v>0</v>
      </c>
      <c r="EF121" s="39">
        <f t="shared" si="111"/>
        <v>3971.87</v>
      </c>
      <c r="EG121" s="39">
        <f t="shared" si="111"/>
        <v>3453.86641</v>
      </c>
      <c r="EH121" s="39">
        <f t="shared" si="111"/>
        <v>16660.9</v>
      </c>
      <c r="EI121" s="39">
        <f t="shared" si="111"/>
        <v>16558.88509</v>
      </c>
      <c r="EJ121" s="39">
        <f t="shared" si="111"/>
        <v>1481.3</v>
      </c>
      <c r="EK121" s="39">
        <f t="shared" si="111"/>
        <v>1376.8</v>
      </c>
      <c r="EL121" s="39">
        <f t="shared" si="111"/>
        <v>0</v>
      </c>
      <c r="EM121" s="39">
        <f t="shared" si="111"/>
        <v>0</v>
      </c>
      <c r="EN121" s="39">
        <f t="shared" si="111"/>
        <v>315</v>
      </c>
      <c r="EO121" s="39">
        <f t="shared" si="111"/>
        <v>315</v>
      </c>
      <c r="EP121" s="39">
        <f t="shared" si="111"/>
        <v>0</v>
      </c>
      <c r="EQ121" s="39">
        <f t="shared" si="111"/>
        <v>0</v>
      </c>
      <c r="ER121" s="39">
        <f t="shared" si="111"/>
        <v>0</v>
      </c>
      <c r="ES121" s="39">
        <f t="shared" si="111"/>
        <v>0</v>
      </c>
      <c r="ET121" s="39">
        <f t="shared" si="111"/>
        <v>0</v>
      </c>
      <c r="EU121" s="39">
        <f t="shared" si="111"/>
        <v>0</v>
      </c>
      <c r="EV121" s="39">
        <f t="shared" si="111"/>
        <v>20.1</v>
      </c>
      <c r="EW121" s="39">
        <f t="shared" si="111"/>
        <v>20.1</v>
      </c>
      <c r="EX121" s="39">
        <f t="shared" si="111"/>
        <v>0</v>
      </c>
      <c r="EY121" s="39">
        <f t="shared" si="111"/>
        <v>0</v>
      </c>
      <c r="EZ121" s="39">
        <f t="shared" si="111"/>
        <v>0</v>
      </c>
      <c r="FA121" s="39">
        <f t="shared" si="111"/>
        <v>0</v>
      </c>
      <c r="FB121" s="39">
        <f t="shared" si="111"/>
        <v>22449.170000000002</v>
      </c>
      <c r="FC121" s="39">
        <f t="shared" si="111"/>
        <v>21724.6515</v>
      </c>
      <c r="FD121" s="39">
        <f t="shared" si="111"/>
        <v>63.6</v>
      </c>
      <c r="FE121" s="39">
        <f t="shared" si="111"/>
        <v>63.6</v>
      </c>
      <c r="FF121" s="39">
        <f t="shared" si="111"/>
        <v>3.35</v>
      </c>
      <c r="FG121" s="39">
        <f t="shared" si="111"/>
        <v>3.35</v>
      </c>
      <c r="FH121" s="39">
        <f t="shared" si="111"/>
        <v>66.95</v>
      </c>
      <c r="FI121" s="39">
        <f t="shared" si="111"/>
        <v>66.95</v>
      </c>
      <c r="FJ121" s="39">
        <f t="shared" si="111"/>
        <v>0</v>
      </c>
      <c r="FK121" s="39">
        <f t="shared" si="111"/>
        <v>0</v>
      </c>
      <c r="FL121" s="39">
        <f t="shared" si="111"/>
        <v>0</v>
      </c>
      <c r="FM121" s="39">
        <f t="shared" si="111"/>
        <v>0</v>
      </c>
      <c r="FN121" s="39">
        <f t="shared" si="111"/>
        <v>0</v>
      </c>
      <c r="FO121" s="39">
        <f t="shared" si="111"/>
        <v>0</v>
      </c>
      <c r="FP121" s="39">
        <f t="shared" si="111"/>
        <v>0</v>
      </c>
      <c r="FQ121" s="39">
        <f t="shared" si="111"/>
        <v>0</v>
      </c>
      <c r="FR121" s="39">
        <f t="shared" si="111"/>
        <v>0</v>
      </c>
      <c r="FS121" s="39">
        <f t="shared" si="111"/>
        <v>0</v>
      </c>
      <c r="FT121" s="39">
        <f t="shared" si="111"/>
        <v>2323</v>
      </c>
      <c r="FU121" s="39">
        <f t="shared" si="111"/>
        <v>2323</v>
      </c>
      <c r="FV121" s="39">
        <f t="shared" si="111"/>
        <v>1472</v>
      </c>
      <c r="FW121" s="39">
        <f t="shared" si="111"/>
        <v>1472</v>
      </c>
      <c r="FX121" s="39">
        <f t="shared" si="111"/>
        <v>13098</v>
      </c>
      <c r="FY121" s="39">
        <f t="shared" si="111"/>
        <v>13098</v>
      </c>
      <c r="FZ121" s="39">
        <f t="shared" si="111"/>
        <v>7286</v>
      </c>
      <c r="GA121" s="39">
        <f t="shared" si="111"/>
        <v>7286</v>
      </c>
      <c r="GB121" s="39">
        <f t="shared" si="111"/>
        <v>6842.5</v>
      </c>
      <c r="GC121" s="39">
        <f t="shared" si="111"/>
        <v>6842.5</v>
      </c>
      <c r="GD121" s="39">
        <f t="shared" si="111"/>
        <v>5597.7</v>
      </c>
      <c r="GE121" s="39">
        <f t="shared" si="111"/>
        <v>5597.7</v>
      </c>
      <c r="GF121" s="39">
        <f t="shared" si="111"/>
        <v>1476</v>
      </c>
      <c r="GG121" s="39">
        <f t="shared" si="111"/>
        <v>1476</v>
      </c>
      <c r="GH121" s="39">
        <f t="shared" si="111"/>
        <v>631.9</v>
      </c>
      <c r="GI121" s="39">
        <f t="shared" si="111"/>
        <v>631.9</v>
      </c>
      <c r="GJ121" s="39">
        <f t="shared" si="111"/>
        <v>93898</v>
      </c>
      <c r="GK121" s="39">
        <f t="shared" si="111"/>
        <v>93898</v>
      </c>
      <c r="GL121" s="39">
        <f t="shared" si="111"/>
        <v>185190</v>
      </c>
      <c r="GM121" s="39">
        <f aca="true" t="shared" si="112" ref="GM121:HY121">SUM(GM122:GM134)</f>
        <v>185190</v>
      </c>
      <c r="GN121" s="39">
        <f t="shared" si="112"/>
        <v>0</v>
      </c>
      <c r="GO121" s="39">
        <f t="shared" si="112"/>
        <v>0</v>
      </c>
      <c r="GP121" s="39">
        <f t="shared" si="112"/>
        <v>14814.7</v>
      </c>
      <c r="GQ121" s="39">
        <f t="shared" si="112"/>
        <v>14814.7</v>
      </c>
      <c r="GR121" s="39">
        <f t="shared" si="112"/>
        <v>1775</v>
      </c>
      <c r="GS121" s="39">
        <f t="shared" si="112"/>
        <v>1775</v>
      </c>
      <c r="GT121" s="39">
        <f t="shared" si="112"/>
        <v>643</v>
      </c>
      <c r="GU121" s="39">
        <f t="shared" si="112"/>
        <v>643</v>
      </c>
      <c r="GV121" s="39">
        <f t="shared" si="112"/>
        <v>23902</v>
      </c>
      <c r="GW121" s="39">
        <f t="shared" si="112"/>
        <v>23902</v>
      </c>
      <c r="GX121" s="39">
        <f t="shared" si="112"/>
        <v>9615.9</v>
      </c>
      <c r="GY121" s="39">
        <f t="shared" si="112"/>
        <v>9615.9</v>
      </c>
      <c r="GZ121" s="39">
        <f t="shared" si="112"/>
        <v>50</v>
      </c>
      <c r="HA121" s="39">
        <f t="shared" si="112"/>
        <v>50</v>
      </c>
      <c r="HB121" s="39">
        <f t="shared" si="112"/>
        <v>0</v>
      </c>
      <c r="HC121" s="39">
        <f t="shared" si="112"/>
        <v>0</v>
      </c>
      <c r="HD121" s="39">
        <f t="shared" si="112"/>
        <v>368615.70000000007</v>
      </c>
      <c r="HE121" s="39">
        <f t="shared" si="112"/>
        <v>368615.70000000007</v>
      </c>
      <c r="HF121" s="39">
        <f t="shared" si="112"/>
        <v>0</v>
      </c>
      <c r="HG121" s="39">
        <f t="shared" si="112"/>
        <v>0</v>
      </c>
      <c r="HH121" s="39">
        <f t="shared" si="112"/>
        <v>0</v>
      </c>
      <c r="HI121" s="39">
        <f t="shared" si="112"/>
        <v>0</v>
      </c>
      <c r="HJ121" s="39">
        <f t="shared" si="112"/>
        <v>0</v>
      </c>
      <c r="HK121" s="39">
        <f t="shared" si="112"/>
        <v>0</v>
      </c>
      <c r="HL121" s="39">
        <f t="shared" si="112"/>
        <v>0</v>
      </c>
      <c r="HM121" s="39">
        <f t="shared" si="112"/>
        <v>0</v>
      </c>
      <c r="HN121" s="39">
        <f t="shared" si="112"/>
        <v>0</v>
      </c>
      <c r="HO121" s="39">
        <f t="shared" si="112"/>
        <v>0</v>
      </c>
      <c r="HP121" s="39">
        <f t="shared" si="112"/>
        <v>0</v>
      </c>
      <c r="HQ121" s="39">
        <f t="shared" si="112"/>
        <v>0</v>
      </c>
      <c r="HR121" s="39">
        <f t="shared" si="112"/>
        <v>0</v>
      </c>
      <c r="HS121" s="39">
        <f t="shared" si="112"/>
        <v>0</v>
      </c>
      <c r="HT121" s="39">
        <f t="shared" si="112"/>
        <v>398</v>
      </c>
      <c r="HU121" s="39">
        <f t="shared" si="112"/>
        <v>375</v>
      </c>
      <c r="HV121" s="39">
        <f t="shared" si="112"/>
        <v>4.873</v>
      </c>
      <c r="HW121" s="39">
        <f t="shared" si="112"/>
        <v>4.873</v>
      </c>
      <c r="HX121" s="39">
        <f t="shared" si="112"/>
        <v>402.873</v>
      </c>
      <c r="HY121" s="39">
        <f t="shared" si="112"/>
        <v>379.873</v>
      </c>
    </row>
    <row r="122" spans="1:233" ht="12.75" customHeight="1">
      <c r="A122" s="12" t="s">
        <v>156</v>
      </c>
      <c r="B122" s="39">
        <f>2154+1436+1795+1076+1795+1795+1794+1795+1795+1794+1435.7+1435.7+1435.6</f>
        <v>21536</v>
      </c>
      <c r="C122" s="39">
        <f>2154+1436+1795+1076+1795+1795+1794+1795+1795+1794+1435.7+1435.7+1435.6</f>
        <v>21536</v>
      </c>
      <c r="D122" s="34"/>
      <c r="E122" s="34"/>
      <c r="F122" s="39">
        <f>8514+5676+7095+4257+7095+6563+6563+6563+6563+6563+6563+6563+6563</f>
        <v>85141</v>
      </c>
      <c r="G122" s="39">
        <f>8514+5676+7095+4257+7095+6563+6563+6563+6563+6563+6563+6563+6563</f>
        <v>85141</v>
      </c>
      <c r="H122" s="34"/>
      <c r="I122" s="34"/>
      <c r="J122" s="34"/>
      <c r="K122" s="34"/>
      <c r="L122" s="34"/>
      <c r="M122" s="34"/>
      <c r="N122" s="34"/>
      <c r="O122" s="34"/>
      <c r="P122" s="51"/>
      <c r="Q122" s="51"/>
      <c r="R122" s="39"/>
      <c r="S122" s="39"/>
      <c r="T122" s="39">
        <v>11272.464</v>
      </c>
      <c r="U122" s="39">
        <v>11272.464</v>
      </c>
      <c r="V122" s="39"/>
      <c r="W122" s="39"/>
      <c r="X122" s="34"/>
      <c r="Y122" s="34"/>
      <c r="Z122" s="34"/>
      <c r="AA122" s="34"/>
      <c r="AB122" s="48">
        <v>10242</v>
      </c>
      <c r="AC122" s="48">
        <v>10242</v>
      </c>
      <c r="AD122" s="48"/>
      <c r="AE122" s="48"/>
      <c r="AF122" s="39"/>
      <c r="AG122" s="48"/>
      <c r="AH122" s="126">
        <f t="shared" si="65"/>
        <v>128191.464</v>
      </c>
      <c r="AI122" s="126">
        <f t="shared" si="98"/>
        <v>128191.464</v>
      </c>
      <c r="AJ122" s="43">
        <v>690</v>
      </c>
      <c r="AK122" s="43">
        <v>690</v>
      </c>
      <c r="AL122" s="134"/>
      <c r="AM122" s="41"/>
      <c r="AN122" s="41"/>
      <c r="AO122" s="41"/>
      <c r="AP122" s="41"/>
      <c r="AQ122" s="41"/>
      <c r="AR122" s="39">
        <v>1901</v>
      </c>
      <c r="AS122" s="39">
        <v>1901</v>
      </c>
      <c r="AT122" s="43">
        <v>10</v>
      </c>
      <c r="AU122" s="43">
        <v>10</v>
      </c>
      <c r="AV122" s="43">
        <v>200</v>
      </c>
      <c r="AW122" s="43">
        <v>200</v>
      </c>
      <c r="AX122" s="43"/>
      <c r="AY122" s="43"/>
      <c r="AZ122" s="39">
        <f t="shared" si="67"/>
        <v>2801</v>
      </c>
      <c r="BA122" s="39">
        <f t="shared" si="61"/>
        <v>2801</v>
      </c>
      <c r="BB122" s="39">
        <v>3404</v>
      </c>
      <c r="BC122" s="39">
        <v>3404</v>
      </c>
      <c r="BD122" s="39"/>
      <c r="BE122" s="43"/>
      <c r="BF122" s="43"/>
      <c r="BG122" s="43"/>
      <c r="BH122" s="43"/>
      <c r="BI122" s="43"/>
      <c r="BJ122" s="43"/>
      <c r="BK122" s="43"/>
      <c r="BL122" s="43">
        <v>3744</v>
      </c>
      <c r="BM122" s="43">
        <v>3053</v>
      </c>
      <c r="BN122" s="43">
        <v>432</v>
      </c>
      <c r="BO122" s="43">
        <v>432</v>
      </c>
      <c r="BP122" s="43">
        <v>0</v>
      </c>
      <c r="BQ122" s="43">
        <v>0</v>
      </c>
      <c r="BR122" s="43"/>
      <c r="BS122" s="43"/>
      <c r="BT122" s="43">
        <v>659.7</v>
      </c>
      <c r="BU122" s="43">
        <v>659.7</v>
      </c>
      <c r="BV122" s="43">
        <v>1182.978</v>
      </c>
      <c r="BW122" s="43">
        <v>927.478</v>
      </c>
      <c r="BX122" s="43"/>
      <c r="BY122" s="45"/>
      <c r="BZ122" s="43"/>
      <c r="CA122" s="45"/>
      <c r="CB122" s="39">
        <v>1150.74</v>
      </c>
      <c r="CC122" s="39">
        <v>1150.74</v>
      </c>
      <c r="CD122" s="43">
        <v>0</v>
      </c>
      <c r="CE122" s="43">
        <v>0</v>
      </c>
      <c r="CF122" s="39">
        <f t="shared" si="68"/>
        <v>7169.418</v>
      </c>
      <c r="CG122" s="39">
        <f t="shared" si="99"/>
        <v>6222.918</v>
      </c>
      <c r="CH122" s="39"/>
      <c r="CI122" s="39"/>
      <c r="CJ122" s="39"/>
      <c r="CK122" s="45"/>
      <c r="CL122" s="45"/>
      <c r="CM122" s="43"/>
      <c r="CN122" s="43"/>
      <c r="CO122" s="43"/>
      <c r="CP122" s="43"/>
      <c r="CQ122" s="39"/>
      <c r="CR122" s="43"/>
      <c r="CS122" s="45"/>
      <c r="CT122" s="45"/>
      <c r="CU122" s="45"/>
      <c r="CV122" s="45"/>
      <c r="CW122" s="43"/>
      <c r="CX122" s="43"/>
      <c r="CY122" s="43"/>
      <c r="CZ122" s="39">
        <v>242.424</v>
      </c>
      <c r="DA122" s="39">
        <v>240.035</v>
      </c>
      <c r="DB122" s="43"/>
      <c r="DC122" s="43"/>
      <c r="DD122" s="43"/>
      <c r="DE122" s="43"/>
      <c r="DF122" s="39">
        <f t="shared" si="70"/>
        <v>242.424</v>
      </c>
      <c r="DG122" s="39">
        <f t="shared" si="100"/>
        <v>240.035</v>
      </c>
      <c r="DH122" s="39">
        <v>1113.28</v>
      </c>
      <c r="DI122" s="39">
        <v>1113.28</v>
      </c>
      <c r="DJ122" s="39">
        <v>1113.28</v>
      </c>
      <c r="DK122" s="39">
        <f t="shared" si="62"/>
        <v>1113.28</v>
      </c>
      <c r="DL122" s="39"/>
      <c r="DM122" s="39"/>
      <c r="DN122" s="43"/>
      <c r="DO122" s="43"/>
      <c r="DP122" s="39">
        <f t="shared" si="72"/>
        <v>0</v>
      </c>
      <c r="DQ122" s="39">
        <f t="shared" si="63"/>
        <v>0</v>
      </c>
      <c r="DR122" s="39"/>
      <c r="DS122" s="39"/>
      <c r="DT122" s="43"/>
      <c r="DU122" s="43"/>
      <c r="DV122" s="43"/>
      <c r="DW122" s="43"/>
      <c r="DX122" s="43"/>
      <c r="DY122" s="43"/>
      <c r="DZ122" s="39"/>
      <c r="EA122" s="39"/>
      <c r="EB122" s="43"/>
      <c r="EC122" s="43"/>
      <c r="ED122" s="43"/>
      <c r="EE122" s="43"/>
      <c r="EF122" s="39"/>
      <c r="EG122" s="43"/>
      <c r="EH122" s="43">
        <v>8876</v>
      </c>
      <c r="EI122" s="39">
        <v>8876</v>
      </c>
      <c r="EJ122" s="39">
        <v>849</v>
      </c>
      <c r="EK122" s="43">
        <v>791</v>
      </c>
      <c r="EL122" s="43"/>
      <c r="EM122" s="43"/>
      <c r="EN122" s="43">
        <v>315</v>
      </c>
      <c r="EO122" s="43">
        <v>315</v>
      </c>
      <c r="EP122" s="43"/>
      <c r="EQ122" s="43"/>
      <c r="ER122" s="43"/>
      <c r="ES122" s="43"/>
      <c r="ET122" s="135"/>
      <c r="EU122" s="135"/>
      <c r="EV122" s="135">
        <v>20.1</v>
      </c>
      <c r="EW122" s="135">
        <v>20.1</v>
      </c>
      <c r="EX122" s="43"/>
      <c r="EY122" s="43"/>
      <c r="EZ122" s="43"/>
      <c r="FA122" s="43"/>
      <c r="FB122" s="37">
        <f t="shared" si="73"/>
        <v>10060.1</v>
      </c>
      <c r="FC122" s="37">
        <f t="shared" si="101"/>
        <v>10002.1</v>
      </c>
      <c r="FD122" s="39">
        <v>63.6</v>
      </c>
      <c r="FE122" s="39">
        <v>63.6</v>
      </c>
      <c r="FF122" s="43">
        <v>3.35</v>
      </c>
      <c r="FG122" s="43">
        <v>3.35</v>
      </c>
      <c r="FH122" s="132">
        <f t="shared" si="75"/>
        <v>66.95</v>
      </c>
      <c r="FI122" s="132">
        <f t="shared" si="64"/>
        <v>66.95</v>
      </c>
      <c r="FJ122" s="39"/>
      <c r="FK122" s="39"/>
      <c r="FL122" s="43"/>
      <c r="FM122" s="43"/>
      <c r="FN122" s="43"/>
      <c r="FO122" s="43"/>
      <c r="FP122" s="43"/>
      <c r="FQ122" s="43"/>
      <c r="FR122" s="39"/>
      <c r="FS122" s="135"/>
      <c r="FT122" s="43">
        <v>2323</v>
      </c>
      <c r="FU122" s="43">
        <v>2323</v>
      </c>
      <c r="FV122" s="43">
        <v>1472</v>
      </c>
      <c r="FW122" s="43">
        <v>1472</v>
      </c>
      <c r="FX122" s="43">
        <v>13098</v>
      </c>
      <c r="FY122" s="43">
        <v>13098</v>
      </c>
      <c r="FZ122" s="43">
        <v>7286</v>
      </c>
      <c r="GA122" s="43">
        <v>7286</v>
      </c>
      <c r="GB122" s="43">
        <v>6842.5</v>
      </c>
      <c r="GC122" s="43">
        <v>6842.5</v>
      </c>
      <c r="GD122" s="135">
        <v>5597.7</v>
      </c>
      <c r="GE122" s="135">
        <v>5597.7</v>
      </c>
      <c r="GF122" s="43">
        <v>1476</v>
      </c>
      <c r="GG122" s="43">
        <v>1476</v>
      </c>
      <c r="GH122" s="43">
        <v>631.9</v>
      </c>
      <c r="GI122" s="43">
        <v>631.9</v>
      </c>
      <c r="GJ122" s="43">
        <v>93898</v>
      </c>
      <c r="GK122" s="43">
        <v>93898</v>
      </c>
      <c r="GL122" s="43">
        <v>185190</v>
      </c>
      <c r="GM122" s="43">
        <v>185190</v>
      </c>
      <c r="GN122" s="43"/>
      <c r="GO122" s="43"/>
      <c r="GP122" s="43">
        <v>14814.7</v>
      </c>
      <c r="GQ122" s="43">
        <v>14814.7</v>
      </c>
      <c r="GR122" s="43">
        <v>1775</v>
      </c>
      <c r="GS122" s="43">
        <v>1775</v>
      </c>
      <c r="GT122" s="43">
        <v>643</v>
      </c>
      <c r="GU122" s="43">
        <v>643</v>
      </c>
      <c r="GV122" s="43">
        <v>23902</v>
      </c>
      <c r="GW122" s="43">
        <v>23902</v>
      </c>
      <c r="GX122" s="45">
        <v>9615.9</v>
      </c>
      <c r="GY122" s="45">
        <v>9615.9</v>
      </c>
      <c r="GZ122" s="43">
        <v>50</v>
      </c>
      <c r="HA122" s="43">
        <v>50</v>
      </c>
      <c r="HB122" s="43"/>
      <c r="HC122" s="43"/>
      <c r="HD122" s="39">
        <f t="shared" si="76"/>
        <v>368615.70000000007</v>
      </c>
      <c r="HE122" s="39">
        <f t="shared" si="102"/>
        <v>368615.70000000007</v>
      </c>
      <c r="HF122" s="39"/>
      <c r="HG122" s="39"/>
      <c r="HH122" s="39"/>
      <c r="HI122" s="43"/>
      <c r="HJ122" s="43"/>
      <c r="HK122" s="43"/>
      <c r="HL122" s="43"/>
      <c r="HM122" s="43"/>
      <c r="HN122" s="136"/>
      <c r="HO122" s="136"/>
      <c r="HP122" s="39">
        <f t="shared" si="78"/>
        <v>0</v>
      </c>
      <c r="HQ122" s="39">
        <f t="shared" si="103"/>
        <v>0</v>
      </c>
      <c r="HR122" s="39"/>
      <c r="HS122" s="39"/>
      <c r="HT122" s="39">
        <v>398</v>
      </c>
      <c r="HU122" s="43">
        <v>375</v>
      </c>
      <c r="HV122" s="39">
        <v>4.873</v>
      </c>
      <c r="HW122" s="39">
        <v>4.873</v>
      </c>
      <c r="HX122" s="39">
        <f t="shared" si="80"/>
        <v>402.873</v>
      </c>
      <c r="HY122" s="39">
        <f t="shared" si="104"/>
        <v>379.873</v>
      </c>
    </row>
    <row r="123" spans="1:233" ht="12.75">
      <c r="A123" s="15" t="s">
        <v>125</v>
      </c>
      <c r="B123" s="34"/>
      <c r="C123" s="34"/>
      <c r="D123" s="39">
        <f>253+253+254+211+211+210+211+211+210+168.7+168.7+168.6</f>
        <v>2529.9999999999995</v>
      </c>
      <c r="E123" s="39">
        <f>253+253+254+211+211+210+211+211+210+168.7+168.7+168.6</f>
        <v>2529.9999999999995</v>
      </c>
      <c r="F123" s="34"/>
      <c r="G123" s="34"/>
      <c r="H123" s="34"/>
      <c r="I123" s="34"/>
      <c r="J123" s="34"/>
      <c r="K123" s="34"/>
      <c r="L123" s="34"/>
      <c r="M123" s="34"/>
      <c r="N123" s="34"/>
      <c r="O123" s="34"/>
      <c r="P123" s="51"/>
      <c r="Q123" s="51"/>
      <c r="R123" s="39">
        <v>450</v>
      </c>
      <c r="S123" s="39">
        <f>445.02583</f>
        <v>445.02583</v>
      </c>
      <c r="T123" s="39">
        <v>142.65775</v>
      </c>
      <c r="U123" s="39">
        <v>142.65775</v>
      </c>
      <c r="V123" s="39"/>
      <c r="W123" s="39"/>
      <c r="X123" s="34"/>
      <c r="Y123" s="34"/>
      <c r="Z123" s="34"/>
      <c r="AA123" s="34"/>
      <c r="AB123" s="34"/>
      <c r="AC123" s="34"/>
      <c r="AD123" s="34">
        <v>1982</v>
      </c>
      <c r="AE123" s="34">
        <v>1982</v>
      </c>
      <c r="AF123" s="39">
        <v>418.1</v>
      </c>
      <c r="AG123" s="48">
        <f>34.8+34.8+34.8+34.8+34.8+35.3+31.6+69.2+31+31+32+14</f>
        <v>418.1</v>
      </c>
      <c r="AH123" s="126">
        <f t="shared" si="65"/>
        <v>5522.75775</v>
      </c>
      <c r="AI123" s="126">
        <f t="shared" si="98"/>
        <v>5517.783579999999</v>
      </c>
      <c r="AJ123" s="43"/>
      <c r="AK123" s="43"/>
      <c r="AL123" s="134"/>
      <c r="AM123" s="41"/>
      <c r="AN123" s="41"/>
      <c r="AO123" s="41"/>
      <c r="AP123" s="41"/>
      <c r="AQ123" s="41"/>
      <c r="AR123" s="39"/>
      <c r="AS123" s="39"/>
      <c r="AT123" s="43"/>
      <c r="AU123" s="43"/>
      <c r="AV123" s="43"/>
      <c r="AW123" s="43"/>
      <c r="AX123" s="43"/>
      <c r="AY123" s="43"/>
      <c r="AZ123" s="39">
        <f t="shared" si="67"/>
        <v>0</v>
      </c>
      <c r="BA123" s="39">
        <f t="shared" si="61"/>
        <v>0</v>
      </c>
      <c r="BB123" s="39">
        <v>0</v>
      </c>
      <c r="BC123" s="39">
        <v>0</v>
      </c>
      <c r="BD123" s="39"/>
      <c r="BE123" s="43"/>
      <c r="BF123" s="43"/>
      <c r="BG123" s="43"/>
      <c r="BH123" s="43"/>
      <c r="BI123" s="43"/>
      <c r="BJ123" s="43"/>
      <c r="BK123" s="43"/>
      <c r="BL123" s="43"/>
      <c r="BM123" s="43"/>
      <c r="BN123" s="45"/>
      <c r="BO123" s="45"/>
      <c r="BP123" s="45"/>
      <c r="BQ123" s="45"/>
      <c r="BR123" s="43"/>
      <c r="BS123" s="43"/>
      <c r="BT123" s="43"/>
      <c r="BU123" s="43"/>
      <c r="BV123" s="45"/>
      <c r="BW123" s="45"/>
      <c r="BX123" s="43"/>
      <c r="BY123" s="45"/>
      <c r="BZ123" s="43"/>
      <c r="CA123" s="45"/>
      <c r="CB123" s="45"/>
      <c r="CC123" s="45"/>
      <c r="CD123" s="45"/>
      <c r="CE123" s="45"/>
      <c r="CF123" s="39">
        <f t="shared" si="68"/>
        <v>0</v>
      </c>
      <c r="CG123" s="39">
        <f t="shared" si="99"/>
        <v>0</v>
      </c>
      <c r="CH123" s="39">
        <v>31229.568850000003</v>
      </c>
      <c r="CI123" s="39">
        <v>25077.64187</v>
      </c>
      <c r="CJ123" s="39">
        <v>9972.486570000001</v>
      </c>
      <c r="CK123" s="43">
        <v>8007.98696</v>
      </c>
      <c r="CL123" s="43"/>
      <c r="CM123" s="43"/>
      <c r="CN123" s="43"/>
      <c r="CO123" s="43"/>
      <c r="CP123" s="43"/>
      <c r="CQ123" s="39"/>
      <c r="CR123" s="43"/>
      <c r="CS123" s="45"/>
      <c r="CT123" s="45"/>
      <c r="CU123" s="45"/>
      <c r="CV123" s="45"/>
      <c r="CW123" s="43"/>
      <c r="CX123" s="43"/>
      <c r="CY123" s="43"/>
      <c r="CZ123" s="39">
        <v>99.822</v>
      </c>
      <c r="DA123" s="39">
        <v>99.822</v>
      </c>
      <c r="DB123" s="43"/>
      <c r="DC123" s="43"/>
      <c r="DD123" s="43"/>
      <c r="DE123" s="43"/>
      <c r="DF123" s="39">
        <f t="shared" si="70"/>
        <v>41301.877420000004</v>
      </c>
      <c r="DG123" s="39">
        <f t="shared" si="100"/>
        <v>33185.45083</v>
      </c>
      <c r="DH123" s="39"/>
      <c r="DI123" s="39"/>
      <c r="DJ123" s="39">
        <v>0</v>
      </c>
      <c r="DK123" s="39">
        <f t="shared" si="62"/>
        <v>0</v>
      </c>
      <c r="DL123" s="39"/>
      <c r="DM123" s="39"/>
      <c r="DN123" s="43"/>
      <c r="DO123" s="43"/>
      <c r="DP123" s="39">
        <f t="shared" si="72"/>
        <v>0</v>
      </c>
      <c r="DQ123" s="39">
        <f t="shared" si="63"/>
        <v>0</v>
      </c>
      <c r="DR123" s="39"/>
      <c r="DS123" s="39"/>
      <c r="DT123" s="43"/>
      <c r="DU123" s="43"/>
      <c r="DV123" s="43"/>
      <c r="DW123" s="43"/>
      <c r="DX123" s="43"/>
      <c r="DY123" s="43"/>
      <c r="DZ123" s="39"/>
      <c r="EA123" s="39"/>
      <c r="EB123" s="43"/>
      <c r="EC123" s="43"/>
      <c r="ED123" s="43"/>
      <c r="EE123" s="43"/>
      <c r="EF123" s="39">
        <v>2320</v>
      </c>
      <c r="EG123" s="43">
        <v>1801.99641</v>
      </c>
      <c r="EH123" s="43">
        <v>299</v>
      </c>
      <c r="EI123" s="39">
        <v>299</v>
      </c>
      <c r="EJ123" s="39">
        <v>0</v>
      </c>
      <c r="EK123" s="43">
        <v>0</v>
      </c>
      <c r="EL123" s="43"/>
      <c r="EM123" s="43"/>
      <c r="EN123" s="45"/>
      <c r="EO123" s="45"/>
      <c r="EP123" s="43"/>
      <c r="EQ123" s="43"/>
      <c r="ER123" s="43"/>
      <c r="ES123" s="43"/>
      <c r="ET123" s="135"/>
      <c r="EU123" s="135"/>
      <c r="EV123" s="135"/>
      <c r="EW123" s="135"/>
      <c r="EX123" s="43"/>
      <c r="EY123" s="43"/>
      <c r="EZ123" s="43"/>
      <c r="FA123" s="43"/>
      <c r="FB123" s="37">
        <f t="shared" si="73"/>
        <v>2619</v>
      </c>
      <c r="FC123" s="37">
        <f t="shared" si="101"/>
        <v>2100.9964099999997</v>
      </c>
      <c r="FD123" s="39"/>
      <c r="FE123" s="39"/>
      <c r="FF123" s="43"/>
      <c r="FG123" s="43"/>
      <c r="FH123" s="132">
        <f t="shared" si="75"/>
        <v>0</v>
      </c>
      <c r="FI123" s="132">
        <f t="shared" si="64"/>
        <v>0</v>
      </c>
      <c r="FJ123" s="39"/>
      <c r="FK123" s="39"/>
      <c r="FL123" s="43"/>
      <c r="FM123" s="43"/>
      <c r="FN123" s="43"/>
      <c r="FO123" s="43"/>
      <c r="FP123" s="43"/>
      <c r="FQ123" s="43"/>
      <c r="FR123" s="39"/>
      <c r="FS123" s="135"/>
      <c r="FT123" s="43"/>
      <c r="FU123" s="43"/>
      <c r="FV123" s="43"/>
      <c r="FW123" s="43"/>
      <c r="FX123" s="43"/>
      <c r="FY123" s="43"/>
      <c r="FZ123" s="43"/>
      <c r="GA123" s="43"/>
      <c r="GB123" s="43"/>
      <c r="GC123" s="43"/>
      <c r="GD123" s="135"/>
      <c r="GE123" s="135"/>
      <c r="GF123" s="43"/>
      <c r="GG123" s="43"/>
      <c r="GH123" s="43"/>
      <c r="GI123" s="43"/>
      <c r="GJ123" s="43"/>
      <c r="GK123" s="43"/>
      <c r="GL123" s="43"/>
      <c r="GM123" s="43"/>
      <c r="GN123" s="43"/>
      <c r="GO123" s="43"/>
      <c r="GP123" s="43"/>
      <c r="GQ123" s="43"/>
      <c r="GR123" s="43"/>
      <c r="GS123" s="43"/>
      <c r="GT123" s="43"/>
      <c r="GU123" s="43"/>
      <c r="GV123" s="43"/>
      <c r="GW123" s="43"/>
      <c r="GX123" s="45"/>
      <c r="GY123" s="45"/>
      <c r="GZ123" s="43"/>
      <c r="HA123" s="43"/>
      <c r="HB123" s="43"/>
      <c r="HC123" s="43"/>
      <c r="HD123" s="39">
        <f t="shared" si="76"/>
        <v>0</v>
      </c>
      <c r="HE123" s="39">
        <f t="shared" si="102"/>
        <v>0</v>
      </c>
      <c r="HF123" s="39"/>
      <c r="HG123" s="39"/>
      <c r="HH123" s="39"/>
      <c r="HI123" s="43"/>
      <c r="HJ123" s="43"/>
      <c r="HK123" s="43"/>
      <c r="HL123" s="43"/>
      <c r="HM123" s="43"/>
      <c r="HN123" s="136"/>
      <c r="HO123" s="136"/>
      <c r="HP123" s="39">
        <f t="shared" si="78"/>
        <v>0</v>
      </c>
      <c r="HQ123" s="39">
        <f t="shared" si="103"/>
        <v>0</v>
      </c>
      <c r="HR123" s="39"/>
      <c r="HS123" s="39"/>
      <c r="HT123" s="39"/>
      <c r="HU123" s="43"/>
      <c r="HV123" s="39"/>
      <c r="HW123" s="39"/>
      <c r="HX123" s="39">
        <f t="shared" si="80"/>
        <v>0</v>
      </c>
      <c r="HY123" s="39">
        <f t="shared" si="104"/>
        <v>0</v>
      </c>
    </row>
    <row r="124" spans="1:233" ht="12.75" customHeight="1">
      <c r="A124" s="15" t="s">
        <v>124</v>
      </c>
      <c r="B124" s="34"/>
      <c r="C124" s="34"/>
      <c r="D124" s="39">
        <f>320+320+321+267+267+266+267+267+266+213.3+213.4+213.3</f>
        <v>3201.0000000000005</v>
      </c>
      <c r="E124" s="39">
        <f>320+320+321+267+267+266+267+267+266+213.3+213.4+213.3</f>
        <v>3201.0000000000005</v>
      </c>
      <c r="F124" s="34"/>
      <c r="G124" s="34"/>
      <c r="H124" s="34"/>
      <c r="I124" s="34"/>
      <c r="J124" s="34"/>
      <c r="K124" s="34"/>
      <c r="L124" s="34"/>
      <c r="M124" s="34"/>
      <c r="N124" s="34"/>
      <c r="O124" s="34"/>
      <c r="P124" s="51"/>
      <c r="Q124" s="51"/>
      <c r="R124" s="39"/>
      <c r="S124" s="39"/>
      <c r="T124" s="39"/>
      <c r="U124" s="39"/>
      <c r="V124" s="39"/>
      <c r="W124" s="34"/>
      <c r="X124" s="34"/>
      <c r="Y124" s="34"/>
      <c r="Z124" s="34"/>
      <c r="AA124" s="34"/>
      <c r="AB124" s="34"/>
      <c r="AC124" s="34"/>
      <c r="AD124" s="34"/>
      <c r="AE124" s="34"/>
      <c r="AF124" s="39"/>
      <c r="AG124" s="48"/>
      <c r="AH124" s="126">
        <f t="shared" si="65"/>
        <v>3201.0000000000005</v>
      </c>
      <c r="AI124" s="126">
        <f t="shared" si="98"/>
        <v>3201.0000000000005</v>
      </c>
      <c r="AJ124" s="43"/>
      <c r="AK124" s="43"/>
      <c r="AL124" s="134"/>
      <c r="AM124" s="41"/>
      <c r="AN124" s="41"/>
      <c r="AO124" s="41"/>
      <c r="AP124" s="41"/>
      <c r="AQ124" s="41"/>
      <c r="AR124" s="39"/>
      <c r="AS124" s="39"/>
      <c r="AT124" s="43"/>
      <c r="AU124" s="43"/>
      <c r="AV124" s="43"/>
      <c r="AW124" s="43"/>
      <c r="AX124" s="43"/>
      <c r="AY124" s="43"/>
      <c r="AZ124" s="39">
        <f t="shared" si="67"/>
        <v>0</v>
      </c>
      <c r="BA124" s="39">
        <f t="shared" si="61"/>
        <v>0</v>
      </c>
      <c r="BB124" s="39">
        <v>0</v>
      </c>
      <c r="BC124" s="39">
        <v>0</v>
      </c>
      <c r="BD124" s="39"/>
      <c r="BE124" s="43"/>
      <c r="BF124" s="43"/>
      <c r="BG124" s="43"/>
      <c r="BH124" s="43"/>
      <c r="BI124" s="43"/>
      <c r="BJ124" s="43"/>
      <c r="BK124" s="43"/>
      <c r="BL124" s="43"/>
      <c r="BM124" s="43"/>
      <c r="BN124" s="45"/>
      <c r="BO124" s="45"/>
      <c r="BP124" s="45"/>
      <c r="BQ124" s="45"/>
      <c r="BR124" s="43"/>
      <c r="BS124" s="43"/>
      <c r="BT124" s="43"/>
      <c r="BU124" s="43"/>
      <c r="BV124" s="45"/>
      <c r="BW124" s="45"/>
      <c r="BX124" s="43"/>
      <c r="BY124" s="45"/>
      <c r="BZ124" s="43"/>
      <c r="CA124" s="45"/>
      <c r="CB124" s="45"/>
      <c r="CC124" s="45"/>
      <c r="CD124" s="45"/>
      <c r="CE124" s="45"/>
      <c r="CF124" s="39">
        <f t="shared" si="68"/>
        <v>0</v>
      </c>
      <c r="CG124" s="39">
        <f t="shared" si="99"/>
        <v>0</v>
      </c>
      <c r="CH124" s="39">
        <v>28846.333870000002</v>
      </c>
      <c r="CI124" s="39">
        <v>28846.333870000002</v>
      </c>
      <c r="CJ124" s="39">
        <v>22403.09072</v>
      </c>
      <c r="CK124" s="43">
        <v>22403.09072</v>
      </c>
      <c r="CL124" s="43"/>
      <c r="CM124" s="43"/>
      <c r="CN124" s="43"/>
      <c r="CO124" s="43"/>
      <c r="CP124" s="43"/>
      <c r="CQ124" s="39"/>
      <c r="CR124" s="43"/>
      <c r="CS124" s="45"/>
      <c r="CT124" s="45"/>
      <c r="CU124" s="45"/>
      <c r="CV124" s="45"/>
      <c r="CW124" s="43"/>
      <c r="CX124" s="43"/>
      <c r="CY124" s="43"/>
      <c r="CZ124" s="39">
        <v>199.643</v>
      </c>
      <c r="DA124" s="39">
        <v>199.643</v>
      </c>
      <c r="DB124" s="43"/>
      <c r="DC124" s="43"/>
      <c r="DD124" s="43"/>
      <c r="DE124" s="43"/>
      <c r="DF124" s="39">
        <f t="shared" si="70"/>
        <v>51449.06759</v>
      </c>
      <c r="DG124" s="39">
        <f t="shared" si="100"/>
        <v>51449.06759</v>
      </c>
      <c r="DH124" s="39"/>
      <c r="DI124" s="39"/>
      <c r="DJ124" s="39">
        <v>0</v>
      </c>
      <c r="DK124" s="39">
        <f t="shared" si="62"/>
        <v>0</v>
      </c>
      <c r="DL124" s="39"/>
      <c r="DM124" s="39"/>
      <c r="DN124" s="43"/>
      <c r="DO124" s="43"/>
      <c r="DP124" s="39">
        <f t="shared" si="72"/>
        <v>0</v>
      </c>
      <c r="DQ124" s="39">
        <f t="shared" si="63"/>
        <v>0</v>
      </c>
      <c r="DR124" s="39"/>
      <c r="DS124" s="39"/>
      <c r="DT124" s="43"/>
      <c r="DU124" s="43"/>
      <c r="DV124" s="43"/>
      <c r="DW124" s="43"/>
      <c r="DX124" s="43"/>
      <c r="DY124" s="43"/>
      <c r="DZ124" s="39"/>
      <c r="EA124" s="39"/>
      <c r="EB124" s="43"/>
      <c r="EC124" s="43"/>
      <c r="ED124" s="43"/>
      <c r="EE124" s="43"/>
      <c r="EF124" s="39"/>
      <c r="EG124" s="43"/>
      <c r="EH124" s="43">
        <v>3496</v>
      </c>
      <c r="EI124" s="39">
        <v>3496</v>
      </c>
      <c r="EJ124" s="39">
        <v>0</v>
      </c>
      <c r="EK124" s="43">
        <v>0</v>
      </c>
      <c r="EL124" s="43"/>
      <c r="EM124" s="43"/>
      <c r="EN124" s="45"/>
      <c r="EO124" s="45"/>
      <c r="EP124" s="43"/>
      <c r="EQ124" s="43"/>
      <c r="ER124" s="43"/>
      <c r="ES124" s="43"/>
      <c r="ET124" s="135"/>
      <c r="EU124" s="135"/>
      <c r="EV124" s="135"/>
      <c r="EW124" s="135"/>
      <c r="EX124" s="43"/>
      <c r="EY124" s="43"/>
      <c r="EZ124" s="43"/>
      <c r="FA124" s="43"/>
      <c r="FB124" s="37">
        <f t="shared" si="73"/>
        <v>3496</v>
      </c>
      <c r="FC124" s="37">
        <f t="shared" si="101"/>
        <v>3496</v>
      </c>
      <c r="FD124" s="39"/>
      <c r="FE124" s="39"/>
      <c r="FF124" s="43"/>
      <c r="FG124" s="43"/>
      <c r="FH124" s="132">
        <f t="shared" si="75"/>
        <v>0</v>
      </c>
      <c r="FI124" s="132">
        <f t="shared" si="64"/>
        <v>0</v>
      </c>
      <c r="FJ124" s="39"/>
      <c r="FK124" s="39"/>
      <c r="FL124" s="43"/>
      <c r="FM124" s="43"/>
      <c r="FN124" s="43"/>
      <c r="FO124" s="43"/>
      <c r="FP124" s="43"/>
      <c r="FQ124" s="43"/>
      <c r="FR124" s="39"/>
      <c r="FS124" s="135"/>
      <c r="FT124" s="43"/>
      <c r="FU124" s="43"/>
      <c r="FV124" s="43"/>
      <c r="FW124" s="43"/>
      <c r="FX124" s="43"/>
      <c r="FY124" s="43"/>
      <c r="FZ124" s="43"/>
      <c r="GA124" s="43"/>
      <c r="GB124" s="43"/>
      <c r="GC124" s="43"/>
      <c r="GD124" s="135"/>
      <c r="GE124" s="135"/>
      <c r="GF124" s="43"/>
      <c r="GG124" s="43"/>
      <c r="GH124" s="43"/>
      <c r="GI124" s="43"/>
      <c r="GJ124" s="43"/>
      <c r="GK124" s="43"/>
      <c r="GL124" s="43"/>
      <c r="GM124" s="43"/>
      <c r="GN124" s="43"/>
      <c r="GO124" s="43"/>
      <c r="GP124" s="43"/>
      <c r="GQ124" s="43"/>
      <c r="GR124" s="43"/>
      <c r="GS124" s="43"/>
      <c r="GT124" s="43"/>
      <c r="GU124" s="43"/>
      <c r="GV124" s="43"/>
      <c r="GW124" s="43"/>
      <c r="GX124" s="45"/>
      <c r="GY124" s="45"/>
      <c r="GZ124" s="43"/>
      <c r="HA124" s="43"/>
      <c r="HB124" s="43"/>
      <c r="HC124" s="43"/>
      <c r="HD124" s="39">
        <f t="shared" si="76"/>
        <v>0</v>
      </c>
      <c r="HE124" s="39">
        <f t="shared" si="102"/>
        <v>0</v>
      </c>
      <c r="HF124" s="39"/>
      <c r="HG124" s="39"/>
      <c r="HH124" s="39"/>
      <c r="HI124" s="43"/>
      <c r="HJ124" s="43"/>
      <c r="HK124" s="43"/>
      <c r="HL124" s="43"/>
      <c r="HM124" s="43"/>
      <c r="HN124" s="136"/>
      <c r="HO124" s="136"/>
      <c r="HP124" s="39">
        <f t="shared" si="78"/>
        <v>0</v>
      </c>
      <c r="HQ124" s="39">
        <f t="shared" si="103"/>
        <v>0</v>
      </c>
      <c r="HR124" s="39"/>
      <c r="HS124" s="39"/>
      <c r="HT124" s="39"/>
      <c r="HU124" s="43"/>
      <c r="HV124" s="39"/>
      <c r="HW124" s="39"/>
      <c r="HX124" s="39">
        <f t="shared" si="80"/>
        <v>0</v>
      </c>
      <c r="HY124" s="39">
        <f t="shared" si="104"/>
        <v>0</v>
      </c>
    </row>
    <row r="125" spans="1:233" ht="12.75">
      <c r="A125" s="15" t="s">
        <v>123</v>
      </c>
      <c r="B125" s="34"/>
      <c r="C125" s="34"/>
      <c r="D125" s="39">
        <f>131+131+132+109+109+110+109+109+110+87+87+87</f>
        <v>1311</v>
      </c>
      <c r="E125" s="39">
        <f>131+131+132+109+109+110+109+109+110+87+87+87</f>
        <v>1311</v>
      </c>
      <c r="F125" s="34"/>
      <c r="G125" s="34"/>
      <c r="H125" s="34"/>
      <c r="I125" s="34"/>
      <c r="J125" s="34"/>
      <c r="K125" s="34"/>
      <c r="L125" s="34"/>
      <c r="M125" s="34"/>
      <c r="N125" s="34"/>
      <c r="O125" s="34"/>
      <c r="P125" s="34"/>
      <c r="Q125" s="34"/>
      <c r="R125" s="39">
        <v>635</v>
      </c>
      <c r="S125" s="39">
        <f>533.74578+100</f>
        <v>633.74578</v>
      </c>
      <c r="T125" s="39">
        <v>213.64986</v>
      </c>
      <c r="U125" s="39">
        <v>213.64986</v>
      </c>
      <c r="V125" s="39"/>
      <c r="W125" s="34"/>
      <c r="X125" s="34"/>
      <c r="Y125" s="34"/>
      <c r="Z125" s="34"/>
      <c r="AA125" s="34"/>
      <c r="AB125" s="34"/>
      <c r="AC125" s="34"/>
      <c r="AD125" s="34"/>
      <c r="AE125" s="34"/>
      <c r="AF125" s="39">
        <v>147</v>
      </c>
      <c r="AG125" s="48">
        <f>12.3+12.3+12.3+12.3+12.3+12.3+12+10.8+12.1+6.1+13+19.2</f>
        <v>146.99999999999997</v>
      </c>
      <c r="AH125" s="126">
        <f t="shared" si="65"/>
        <v>2306.64986</v>
      </c>
      <c r="AI125" s="126">
        <f t="shared" si="98"/>
        <v>2305.3956399999997</v>
      </c>
      <c r="AJ125" s="43"/>
      <c r="AK125" s="43"/>
      <c r="AL125" s="134"/>
      <c r="AM125" s="41"/>
      <c r="AN125" s="41"/>
      <c r="AO125" s="41"/>
      <c r="AP125" s="41"/>
      <c r="AQ125" s="41"/>
      <c r="AR125" s="39"/>
      <c r="AS125" s="39"/>
      <c r="AT125" s="43"/>
      <c r="AU125" s="43"/>
      <c r="AV125" s="43"/>
      <c r="AW125" s="43"/>
      <c r="AX125" s="43"/>
      <c r="AY125" s="43"/>
      <c r="AZ125" s="39">
        <f t="shared" si="67"/>
        <v>0</v>
      </c>
      <c r="BA125" s="39">
        <f t="shared" si="61"/>
        <v>0</v>
      </c>
      <c r="BB125" s="39">
        <v>0</v>
      </c>
      <c r="BC125" s="39">
        <v>0</v>
      </c>
      <c r="BD125" s="39"/>
      <c r="BE125" s="43"/>
      <c r="BF125" s="43"/>
      <c r="BG125" s="43"/>
      <c r="BH125" s="43"/>
      <c r="BI125" s="43"/>
      <c r="BJ125" s="43"/>
      <c r="BK125" s="43"/>
      <c r="BL125" s="43"/>
      <c r="BM125" s="43"/>
      <c r="BN125" s="45"/>
      <c r="BO125" s="45"/>
      <c r="BP125" s="45"/>
      <c r="BQ125" s="45"/>
      <c r="BR125" s="43"/>
      <c r="BS125" s="43"/>
      <c r="BT125" s="43"/>
      <c r="BU125" s="43"/>
      <c r="BV125" s="45"/>
      <c r="BW125" s="45"/>
      <c r="BX125" s="43"/>
      <c r="BY125" s="45"/>
      <c r="BZ125" s="43"/>
      <c r="CA125" s="45"/>
      <c r="CB125" s="45"/>
      <c r="CC125" s="45"/>
      <c r="CD125" s="45"/>
      <c r="CE125" s="45"/>
      <c r="CF125" s="39">
        <f t="shared" si="68"/>
        <v>0</v>
      </c>
      <c r="CG125" s="39">
        <f t="shared" si="99"/>
        <v>0</v>
      </c>
      <c r="CH125" s="39"/>
      <c r="CI125" s="39"/>
      <c r="CJ125" s="39"/>
      <c r="CK125" s="45"/>
      <c r="CL125" s="45"/>
      <c r="CM125" s="43"/>
      <c r="CN125" s="43"/>
      <c r="CO125" s="43"/>
      <c r="CP125" s="43"/>
      <c r="CQ125" s="39"/>
      <c r="CR125" s="43"/>
      <c r="CS125" s="45"/>
      <c r="CT125" s="45"/>
      <c r="CU125" s="45"/>
      <c r="CV125" s="45"/>
      <c r="CW125" s="43"/>
      <c r="CX125" s="43"/>
      <c r="CY125" s="43"/>
      <c r="CZ125" s="39">
        <v>171.123</v>
      </c>
      <c r="DA125" s="39">
        <v>171.123</v>
      </c>
      <c r="DB125" s="43"/>
      <c r="DC125" s="43"/>
      <c r="DD125" s="43"/>
      <c r="DE125" s="43"/>
      <c r="DF125" s="39">
        <f t="shared" si="70"/>
        <v>171.123</v>
      </c>
      <c r="DG125" s="39">
        <f t="shared" si="100"/>
        <v>171.123</v>
      </c>
      <c r="DH125" s="39"/>
      <c r="DI125" s="39"/>
      <c r="DJ125" s="39">
        <v>0</v>
      </c>
      <c r="DK125" s="39">
        <f t="shared" si="62"/>
        <v>0</v>
      </c>
      <c r="DL125" s="39"/>
      <c r="DM125" s="39"/>
      <c r="DN125" s="43"/>
      <c r="DO125" s="43"/>
      <c r="DP125" s="39">
        <f t="shared" si="72"/>
        <v>0</v>
      </c>
      <c r="DQ125" s="39">
        <f t="shared" si="63"/>
        <v>0</v>
      </c>
      <c r="DR125" s="39"/>
      <c r="DS125" s="39"/>
      <c r="DT125" s="43"/>
      <c r="DU125" s="43"/>
      <c r="DV125" s="43"/>
      <c r="DW125" s="43"/>
      <c r="DX125" s="43"/>
      <c r="DY125" s="43"/>
      <c r="DZ125" s="39"/>
      <c r="EA125" s="39"/>
      <c r="EB125" s="43"/>
      <c r="EC125" s="43"/>
      <c r="ED125" s="43"/>
      <c r="EE125" s="43"/>
      <c r="EF125" s="39">
        <v>253.87</v>
      </c>
      <c r="EG125" s="43">
        <v>253.87</v>
      </c>
      <c r="EH125" s="43">
        <v>1272</v>
      </c>
      <c r="EI125" s="39">
        <v>1272</v>
      </c>
      <c r="EJ125" s="39">
        <v>199</v>
      </c>
      <c r="EK125" s="43">
        <v>199</v>
      </c>
      <c r="EL125" s="43"/>
      <c r="EM125" s="43"/>
      <c r="EN125" s="45"/>
      <c r="EO125" s="45"/>
      <c r="EP125" s="43"/>
      <c r="EQ125" s="43"/>
      <c r="ER125" s="43"/>
      <c r="ES125" s="43"/>
      <c r="ET125" s="135"/>
      <c r="EU125" s="135"/>
      <c r="EV125" s="135"/>
      <c r="EW125" s="135"/>
      <c r="EX125" s="43"/>
      <c r="EY125" s="43"/>
      <c r="EZ125" s="43"/>
      <c r="FA125" s="43"/>
      <c r="FB125" s="37">
        <f t="shared" si="73"/>
        <v>1724.87</v>
      </c>
      <c r="FC125" s="37">
        <f t="shared" si="101"/>
        <v>1724.87</v>
      </c>
      <c r="FD125" s="39"/>
      <c r="FE125" s="39"/>
      <c r="FF125" s="43"/>
      <c r="FG125" s="43"/>
      <c r="FH125" s="132">
        <f t="shared" si="75"/>
        <v>0</v>
      </c>
      <c r="FI125" s="132">
        <f t="shared" si="64"/>
        <v>0</v>
      </c>
      <c r="FJ125" s="39"/>
      <c r="FK125" s="39"/>
      <c r="FL125" s="43"/>
      <c r="FM125" s="43"/>
      <c r="FN125" s="43"/>
      <c r="FO125" s="43"/>
      <c r="FP125" s="43"/>
      <c r="FQ125" s="43"/>
      <c r="FR125" s="39"/>
      <c r="FS125" s="135"/>
      <c r="FT125" s="43"/>
      <c r="FU125" s="43"/>
      <c r="FV125" s="43"/>
      <c r="FW125" s="43"/>
      <c r="FX125" s="43"/>
      <c r="FY125" s="43"/>
      <c r="FZ125" s="43"/>
      <c r="GA125" s="43"/>
      <c r="GB125" s="43"/>
      <c r="GC125" s="43"/>
      <c r="GD125" s="135"/>
      <c r="GE125" s="135"/>
      <c r="GF125" s="43"/>
      <c r="GG125" s="43"/>
      <c r="GH125" s="43"/>
      <c r="GI125" s="43"/>
      <c r="GJ125" s="43"/>
      <c r="GK125" s="43"/>
      <c r="GL125" s="43"/>
      <c r="GM125" s="43"/>
      <c r="GN125" s="43"/>
      <c r="GO125" s="43"/>
      <c r="GP125" s="43"/>
      <c r="GQ125" s="43"/>
      <c r="GR125" s="43"/>
      <c r="GS125" s="43"/>
      <c r="GT125" s="43"/>
      <c r="GU125" s="43"/>
      <c r="GV125" s="43"/>
      <c r="GW125" s="43"/>
      <c r="GX125" s="45"/>
      <c r="GY125" s="45"/>
      <c r="GZ125" s="43"/>
      <c r="HA125" s="43"/>
      <c r="HB125" s="43"/>
      <c r="HC125" s="43"/>
      <c r="HD125" s="39">
        <f t="shared" si="76"/>
        <v>0</v>
      </c>
      <c r="HE125" s="39">
        <f t="shared" si="102"/>
        <v>0</v>
      </c>
      <c r="HF125" s="39"/>
      <c r="HG125" s="39"/>
      <c r="HH125" s="39"/>
      <c r="HI125" s="43"/>
      <c r="HJ125" s="43"/>
      <c r="HK125" s="43"/>
      <c r="HL125" s="43"/>
      <c r="HM125" s="43"/>
      <c r="HN125" s="136"/>
      <c r="HO125" s="136"/>
      <c r="HP125" s="39">
        <f t="shared" si="78"/>
        <v>0</v>
      </c>
      <c r="HQ125" s="39">
        <f t="shared" si="103"/>
        <v>0</v>
      </c>
      <c r="HR125" s="39"/>
      <c r="HS125" s="39"/>
      <c r="HT125" s="39"/>
      <c r="HU125" s="43"/>
      <c r="HV125" s="39"/>
      <c r="HW125" s="39"/>
      <c r="HX125" s="39">
        <f t="shared" si="80"/>
        <v>0</v>
      </c>
      <c r="HY125" s="39">
        <f t="shared" si="104"/>
        <v>0</v>
      </c>
    </row>
    <row r="126" spans="1:233" ht="12.75" customHeight="1">
      <c r="A126" s="15" t="s">
        <v>273</v>
      </c>
      <c r="B126" s="34"/>
      <c r="C126" s="34"/>
      <c r="D126" s="39">
        <f>200+200+201+167+167+167+167+167+167+133.3+133.4+133.3</f>
        <v>2003</v>
      </c>
      <c r="E126" s="39">
        <f>200+200+201+167+167+167+167+167+167+133.3+133.4+133.3</f>
        <v>2003</v>
      </c>
      <c r="F126" s="34"/>
      <c r="G126" s="34"/>
      <c r="H126" s="34"/>
      <c r="I126" s="34"/>
      <c r="J126" s="34"/>
      <c r="K126" s="34"/>
      <c r="L126" s="34"/>
      <c r="M126" s="34"/>
      <c r="N126" s="34"/>
      <c r="O126" s="34"/>
      <c r="P126" s="34"/>
      <c r="Q126" s="34"/>
      <c r="R126" s="39"/>
      <c r="S126" s="39"/>
      <c r="T126" s="39">
        <v>1.69099</v>
      </c>
      <c r="U126" s="39">
        <v>1.69099</v>
      </c>
      <c r="V126" s="39"/>
      <c r="W126" s="34"/>
      <c r="X126" s="34"/>
      <c r="Y126" s="34"/>
      <c r="Z126" s="34"/>
      <c r="AA126" s="34"/>
      <c r="AB126" s="34"/>
      <c r="AC126" s="34"/>
      <c r="AD126" s="34"/>
      <c r="AE126" s="34"/>
      <c r="AF126" s="39">
        <v>73</v>
      </c>
      <c r="AG126" s="48">
        <f>6.1+6.1+6.1+6.1+6.1+5+5+5+5+8+14.5</f>
        <v>73</v>
      </c>
      <c r="AH126" s="126">
        <f t="shared" si="65"/>
        <v>2077.69099</v>
      </c>
      <c r="AI126" s="126">
        <f t="shared" si="98"/>
        <v>2077.69099</v>
      </c>
      <c r="AJ126" s="43"/>
      <c r="AK126" s="43"/>
      <c r="AL126" s="134"/>
      <c r="AM126" s="41"/>
      <c r="AN126" s="41"/>
      <c r="AO126" s="41"/>
      <c r="AP126" s="41"/>
      <c r="AQ126" s="41"/>
      <c r="AR126" s="39"/>
      <c r="AS126" s="39"/>
      <c r="AT126" s="43"/>
      <c r="AU126" s="43"/>
      <c r="AV126" s="43"/>
      <c r="AW126" s="43"/>
      <c r="AX126" s="43"/>
      <c r="AY126" s="43"/>
      <c r="AZ126" s="39">
        <f t="shared" si="67"/>
        <v>0</v>
      </c>
      <c r="BA126" s="39">
        <f t="shared" si="61"/>
        <v>0</v>
      </c>
      <c r="BB126" s="39">
        <v>0</v>
      </c>
      <c r="BC126" s="39">
        <v>0</v>
      </c>
      <c r="BD126" s="39">
        <v>38.5</v>
      </c>
      <c r="BE126" s="43">
        <v>38.5</v>
      </c>
      <c r="BF126" s="43"/>
      <c r="BG126" s="43"/>
      <c r="BH126" s="43"/>
      <c r="BI126" s="43"/>
      <c r="BJ126" s="43"/>
      <c r="BK126" s="43"/>
      <c r="BL126" s="43"/>
      <c r="BM126" s="43"/>
      <c r="BN126" s="45"/>
      <c r="BO126" s="45"/>
      <c r="BP126" s="45"/>
      <c r="BQ126" s="45"/>
      <c r="BR126" s="43"/>
      <c r="BS126" s="43"/>
      <c r="BT126" s="43"/>
      <c r="BU126" s="43"/>
      <c r="BV126" s="45"/>
      <c r="BW126" s="45"/>
      <c r="BX126" s="43"/>
      <c r="BY126" s="45"/>
      <c r="BZ126" s="43"/>
      <c r="CA126" s="45"/>
      <c r="CB126" s="45"/>
      <c r="CC126" s="45"/>
      <c r="CD126" s="45"/>
      <c r="CE126" s="45"/>
      <c r="CF126" s="39">
        <f t="shared" si="68"/>
        <v>38.5</v>
      </c>
      <c r="CG126" s="39">
        <f t="shared" si="99"/>
        <v>38.5</v>
      </c>
      <c r="CH126" s="39">
        <v>1989.61472</v>
      </c>
      <c r="CI126" s="39">
        <v>596.8844200000001</v>
      </c>
      <c r="CJ126" s="39">
        <v>635.34038</v>
      </c>
      <c r="CK126" s="43">
        <v>190.60210999999998</v>
      </c>
      <c r="CL126" s="43"/>
      <c r="CM126" s="43"/>
      <c r="CN126" s="43"/>
      <c r="CO126" s="43"/>
      <c r="CP126" s="43"/>
      <c r="CQ126" s="39"/>
      <c r="CR126" s="43"/>
      <c r="CS126" s="45"/>
      <c r="CT126" s="45"/>
      <c r="CU126" s="45"/>
      <c r="CV126" s="45"/>
      <c r="CW126" s="43"/>
      <c r="CX126" s="43"/>
      <c r="CY126" s="43"/>
      <c r="CZ126" s="39"/>
      <c r="DA126" s="45"/>
      <c r="DB126" s="43"/>
      <c r="DC126" s="43"/>
      <c r="DD126" s="43"/>
      <c r="DE126" s="43"/>
      <c r="DF126" s="39">
        <f t="shared" si="70"/>
        <v>2624.9551</v>
      </c>
      <c r="DG126" s="39">
        <f t="shared" si="100"/>
        <v>787.4865300000001</v>
      </c>
      <c r="DH126" s="39"/>
      <c r="DI126" s="39"/>
      <c r="DJ126" s="39">
        <v>0</v>
      </c>
      <c r="DK126" s="39">
        <f t="shared" si="62"/>
        <v>0</v>
      </c>
      <c r="DL126" s="39"/>
      <c r="DM126" s="39"/>
      <c r="DN126" s="43"/>
      <c r="DO126" s="43"/>
      <c r="DP126" s="39">
        <f t="shared" si="72"/>
        <v>0</v>
      </c>
      <c r="DQ126" s="39">
        <f t="shared" si="63"/>
        <v>0</v>
      </c>
      <c r="DR126" s="39"/>
      <c r="DS126" s="39"/>
      <c r="DT126" s="43"/>
      <c r="DU126" s="43"/>
      <c r="DV126" s="43"/>
      <c r="DW126" s="43"/>
      <c r="DX126" s="43"/>
      <c r="DY126" s="43"/>
      <c r="DZ126" s="39"/>
      <c r="EA126" s="39"/>
      <c r="EB126" s="43"/>
      <c r="EC126" s="43"/>
      <c r="ED126" s="43"/>
      <c r="EE126" s="43"/>
      <c r="EF126" s="39"/>
      <c r="EG126" s="43"/>
      <c r="EH126" s="43">
        <v>288</v>
      </c>
      <c r="EI126" s="39">
        <v>288</v>
      </c>
      <c r="EJ126" s="39">
        <v>25</v>
      </c>
      <c r="EK126" s="43">
        <v>25</v>
      </c>
      <c r="EL126" s="43"/>
      <c r="EM126" s="43"/>
      <c r="EN126" s="45"/>
      <c r="EO126" s="45"/>
      <c r="EP126" s="43"/>
      <c r="EQ126" s="43"/>
      <c r="ER126" s="43"/>
      <c r="ES126" s="43"/>
      <c r="ET126" s="135"/>
      <c r="EU126" s="135"/>
      <c r="EV126" s="135"/>
      <c r="EW126" s="135"/>
      <c r="EX126" s="43"/>
      <c r="EY126" s="43"/>
      <c r="EZ126" s="43"/>
      <c r="FA126" s="43"/>
      <c r="FB126" s="37">
        <f t="shared" si="73"/>
        <v>313</v>
      </c>
      <c r="FC126" s="37">
        <f t="shared" si="101"/>
        <v>313</v>
      </c>
      <c r="FD126" s="39"/>
      <c r="FE126" s="39"/>
      <c r="FF126" s="43"/>
      <c r="FG126" s="43"/>
      <c r="FH126" s="132">
        <f t="shared" si="75"/>
        <v>0</v>
      </c>
      <c r="FI126" s="132">
        <f t="shared" si="64"/>
        <v>0</v>
      </c>
      <c r="FJ126" s="39"/>
      <c r="FK126" s="39"/>
      <c r="FL126" s="43"/>
      <c r="FM126" s="43"/>
      <c r="FN126" s="43"/>
      <c r="FO126" s="43"/>
      <c r="FP126" s="43"/>
      <c r="FQ126" s="43"/>
      <c r="FR126" s="39"/>
      <c r="FS126" s="135"/>
      <c r="FT126" s="43"/>
      <c r="FU126" s="43"/>
      <c r="FV126" s="43"/>
      <c r="FW126" s="43"/>
      <c r="FX126" s="43"/>
      <c r="FY126" s="43"/>
      <c r="FZ126" s="43"/>
      <c r="GA126" s="43"/>
      <c r="GB126" s="43"/>
      <c r="GC126" s="43"/>
      <c r="GD126" s="135"/>
      <c r="GE126" s="135"/>
      <c r="GF126" s="43"/>
      <c r="GG126" s="43"/>
      <c r="GH126" s="43"/>
      <c r="GI126" s="43"/>
      <c r="GJ126" s="43"/>
      <c r="GK126" s="43"/>
      <c r="GL126" s="43"/>
      <c r="GM126" s="43"/>
      <c r="GN126" s="43"/>
      <c r="GO126" s="43"/>
      <c r="GP126" s="43"/>
      <c r="GQ126" s="43"/>
      <c r="GR126" s="43"/>
      <c r="GS126" s="43"/>
      <c r="GT126" s="43"/>
      <c r="GU126" s="43"/>
      <c r="GV126" s="43"/>
      <c r="GW126" s="43"/>
      <c r="GX126" s="45"/>
      <c r="GY126" s="45"/>
      <c r="GZ126" s="43"/>
      <c r="HA126" s="43"/>
      <c r="HB126" s="43"/>
      <c r="HC126" s="43"/>
      <c r="HD126" s="39">
        <f t="shared" si="76"/>
        <v>0</v>
      </c>
      <c r="HE126" s="39">
        <f t="shared" si="102"/>
        <v>0</v>
      </c>
      <c r="HF126" s="39"/>
      <c r="HG126" s="39"/>
      <c r="HH126" s="39"/>
      <c r="HI126" s="43"/>
      <c r="HJ126" s="43"/>
      <c r="HK126" s="43"/>
      <c r="HL126" s="43"/>
      <c r="HM126" s="43"/>
      <c r="HN126" s="136"/>
      <c r="HO126" s="136"/>
      <c r="HP126" s="39">
        <f t="shared" si="78"/>
        <v>0</v>
      </c>
      <c r="HQ126" s="39">
        <f t="shared" si="103"/>
        <v>0</v>
      </c>
      <c r="HR126" s="39"/>
      <c r="HS126" s="39"/>
      <c r="HT126" s="39"/>
      <c r="HU126" s="43"/>
      <c r="HV126" s="39"/>
      <c r="HW126" s="39"/>
      <c r="HX126" s="39">
        <f t="shared" si="80"/>
        <v>0</v>
      </c>
      <c r="HY126" s="39">
        <f t="shared" si="104"/>
        <v>0</v>
      </c>
    </row>
    <row r="127" spans="1:233" ht="12.75">
      <c r="A127" s="15" t="s">
        <v>274</v>
      </c>
      <c r="B127" s="34"/>
      <c r="C127" s="34"/>
      <c r="D127" s="39">
        <f>307+307+307+256+256+255+256+256+255+205+205+205</f>
        <v>3070</v>
      </c>
      <c r="E127" s="39">
        <f>307+307+307+256+256+255+256+256+255+205+205+205</f>
        <v>3070</v>
      </c>
      <c r="F127" s="34"/>
      <c r="G127" s="34"/>
      <c r="H127" s="34"/>
      <c r="I127" s="34"/>
      <c r="J127" s="34"/>
      <c r="K127" s="34"/>
      <c r="L127" s="34"/>
      <c r="M127" s="34"/>
      <c r="N127" s="34"/>
      <c r="O127" s="34"/>
      <c r="P127" s="34"/>
      <c r="Q127" s="34"/>
      <c r="R127" s="39">
        <v>20</v>
      </c>
      <c r="S127" s="39">
        <v>20</v>
      </c>
      <c r="T127" s="39">
        <v>6.379029999999999</v>
      </c>
      <c r="U127" s="39">
        <v>6.37903</v>
      </c>
      <c r="V127" s="39"/>
      <c r="W127" s="34"/>
      <c r="X127" s="34"/>
      <c r="Y127" s="34"/>
      <c r="Z127" s="34"/>
      <c r="AA127" s="34"/>
      <c r="AB127" s="34"/>
      <c r="AC127" s="34"/>
      <c r="AD127" s="34"/>
      <c r="AE127" s="34"/>
      <c r="AF127" s="39">
        <v>73</v>
      </c>
      <c r="AG127" s="48">
        <f>6.1+6.1+6.1+6.1+6.1+5.8+5.6+5.8+5.6+5.6+6+8.1</f>
        <v>73</v>
      </c>
      <c r="AH127" s="126">
        <f t="shared" si="65"/>
        <v>3169.37903</v>
      </c>
      <c r="AI127" s="126">
        <f t="shared" si="98"/>
        <v>3169.37903</v>
      </c>
      <c r="AJ127" s="43"/>
      <c r="AK127" s="43"/>
      <c r="AL127" s="134"/>
      <c r="AM127" s="41"/>
      <c r="AN127" s="41"/>
      <c r="AO127" s="41"/>
      <c r="AP127" s="41"/>
      <c r="AQ127" s="41"/>
      <c r="AR127" s="39"/>
      <c r="AS127" s="39"/>
      <c r="AT127" s="43"/>
      <c r="AU127" s="43"/>
      <c r="AV127" s="43"/>
      <c r="AW127" s="43"/>
      <c r="AX127" s="43"/>
      <c r="AY127" s="43"/>
      <c r="AZ127" s="39">
        <f t="shared" si="67"/>
        <v>0</v>
      </c>
      <c r="BA127" s="39">
        <f t="shared" si="61"/>
        <v>0</v>
      </c>
      <c r="BB127" s="39">
        <v>0</v>
      </c>
      <c r="BC127" s="39">
        <v>0</v>
      </c>
      <c r="BD127" s="39">
        <v>65.5</v>
      </c>
      <c r="BE127" s="43">
        <v>65.49</v>
      </c>
      <c r="BF127" s="43"/>
      <c r="BG127" s="43"/>
      <c r="BH127" s="43"/>
      <c r="BI127" s="43"/>
      <c r="BJ127" s="43"/>
      <c r="BK127" s="43"/>
      <c r="BL127" s="43"/>
      <c r="BM127" s="43"/>
      <c r="BN127" s="45"/>
      <c r="BO127" s="45"/>
      <c r="BP127" s="45"/>
      <c r="BQ127" s="45"/>
      <c r="BR127" s="43"/>
      <c r="BS127" s="43"/>
      <c r="BT127" s="43"/>
      <c r="BU127" s="43"/>
      <c r="BV127" s="45"/>
      <c r="BW127" s="45"/>
      <c r="BX127" s="43"/>
      <c r="BY127" s="45"/>
      <c r="BZ127" s="43"/>
      <c r="CA127" s="45"/>
      <c r="CB127" s="45"/>
      <c r="CC127" s="45"/>
      <c r="CD127" s="45"/>
      <c r="CE127" s="45"/>
      <c r="CF127" s="39">
        <f t="shared" si="68"/>
        <v>65.5</v>
      </c>
      <c r="CG127" s="39">
        <f t="shared" si="99"/>
        <v>65.49</v>
      </c>
      <c r="CH127" s="39"/>
      <c r="CI127" s="39"/>
      <c r="CJ127" s="39"/>
      <c r="CK127" s="45"/>
      <c r="CL127" s="45"/>
      <c r="CM127" s="43"/>
      <c r="CN127" s="43"/>
      <c r="CO127" s="43"/>
      <c r="CP127" s="43"/>
      <c r="CQ127" s="39"/>
      <c r="CR127" s="43"/>
      <c r="CS127" s="45"/>
      <c r="CT127" s="45"/>
      <c r="CU127" s="45"/>
      <c r="CV127" s="45"/>
      <c r="CW127" s="43"/>
      <c r="CX127" s="43"/>
      <c r="CY127" s="43"/>
      <c r="CZ127" s="39"/>
      <c r="DA127" s="45"/>
      <c r="DB127" s="43"/>
      <c r="DC127" s="43"/>
      <c r="DD127" s="43"/>
      <c r="DE127" s="43"/>
      <c r="DF127" s="39">
        <f t="shared" si="70"/>
        <v>0</v>
      </c>
      <c r="DG127" s="39">
        <f t="shared" si="100"/>
        <v>0</v>
      </c>
      <c r="DH127" s="39"/>
      <c r="DI127" s="39"/>
      <c r="DJ127" s="39">
        <v>0</v>
      </c>
      <c r="DK127" s="39">
        <f t="shared" si="62"/>
        <v>0</v>
      </c>
      <c r="DL127" s="39"/>
      <c r="DM127" s="39"/>
      <c r="DN127" s="43"/>
      <c r="DO127" s="43"/>
      <c r="DP127" s="39">
        <f t="shared" si="72"/>
        <v>0</v>
      </c>
      <c r="DQ127" s="39">
        <f t="shared" si="63"/>
        <v>0</v>
      </c>
      <c r="DR127" s="39"/>
      <c r="DS127" s="39"/>
      <c r="DT127" s="43"/>
      <c r="DU127" s="43"/>
      <c r="DV127" s="43"/>
      <c r="DW127" s="43"/>
      <c r="DX127" s="43"/>
      <c r="DY127" s="43"/>
      <c r="DZ127" s="39"/>
      <c r="EA127" s="39"/>
      <c r="EB127" s="43"/>
      <c r="EC127" s="43"/>
      <c r="ED127" s="43"/>
      <c r="EE127" s="43"/>
      <c r="EF127" s="39"/>
      <c r="EG127" s="43"/>
      <c r="EH127" s="43">
        <v>211.6</v>
      </c>
      <c r="EI127" s="39">
        <v>211.6</v>
      </c>
      <c r="EJ127" s="39">
        <v>19.3</v>
      </c>
      <c r="EK127" s="43">
        <v>19.3</v>
      </c>
      <c r="EL127" s="43"/>
      <c r="EM127" s="43"/>
      <c r="EN127" s="45"/>
      <c r="EO127" s="45"/>
      <c r="EP127" s="43"/>
      <c r="EQ127" s="43"/>
      <c r="ER127" s="43"/>
      <c r="ES127" s="43"/>
      <c r="ET127" s="135"/>
      <c r="EU127" s="135"/>
      <c r="EV127" s="135"/>
      <c r="EW127" s="135"/>
      <c r="EX127" s="43"/>
      <c r="EY127" s="43"/>
      <c r="EZ127" s="43"/>
      <c r="FA127" s="43"/>
      <c r="FB127" s="37">
        <f t="shared" si="73"/>
        <v>230.9</v>
      </c>
      <c r="FC127" s="37">
        <f t="shared" si="101"/>
        <v>230.9</v>
      </c>
      <c r="FD127" s="39"/>
      <c r="FE127" s="39"/>
      <c r="FF127" s="43"/>
      <c r="FG127" s="43"/>
      <c r="FH127" s="132">
        <f t="shared" si="75"/>
        <v>0</v>
      </c>
      <c r="FI127" s="132">
        <f t="shared" si="64"/>
        <v>0</v>
      </c>
      <c r="FJ127" s="39"/>
      <c r="FK127" s="39"/>
      <c r="FL127" s="43"/>
      <c r="FM127" s="43"/>
      <c r="FN127" s="43"/>
      <c r="FO127" s="43"/>
      <c r="FP127" s="43"/>
      <c r="FQ127" s="43"/>
      <c r="FR127" s="39"/>
      <c r="FS127" s="135"/>
      <c r="FT127" s="43"/>
      <c r="FU127" s="43"/>
      <c r="FV127" s="43"/>
      <c r="FW127" s="43"/>
      <c r="FX127" s="43"/>
      <c r="FY127" s="43"/>
      <c r="FZ127" s="43"/>
      <c r="GA127" s="43"/>
      <c r="GB127" s="43"/>
      <c r="GC127" s="43"/>
      <c r="GD127" s="135"/>
      <c r="GE127" s="135"/>
      <c r="GF127" s="43"/>
      <c r="GG127" s="43"/>
      <c r="GH127" s="43"/>
      <c r="GI127" s="43"/>
      <c r="GJ127" s="43"/>
      <c r="GK127" s="43"/>
      <c r="GL127" s="43"/>
      <c r="GM127" s="43"/>
      <c r="GN127" s="43"/>
      <c r="GO127" s="43"/>
      <c r="GP127" s="43"/>
      <c r="GQ127" s="43"/>
      <c r="GR127" s="43"/>
      <c r="GS127" s="43"/>
      <c r="GT127" s="43"/>
      <c r="GU127" s="43"/>
      <c r="GV127" s="43"/>
      <c r="GW127" s="43"/>
      <c r="GX127" s="45"/>
      <c r="GY127" s="45"/>
      <c r="GZ127" s="43"/>
      <c r="HA127" s="43"/>
      <c r="HB127" s="43"/>
      <c r="HC127" s="43"/>
      <c r="HD127" s="39">
        <f t="shared" si="76"/>
        <v>0</v>
      </c>
      <c r="HE127" s="39">
        <f t="shared" si="102"/>
        <v>0</v>
      </c>
      <c r="HF127" s="39"/>
      <c r="HG127" s="39"/>
      <c r="HH127" s="39"/>
      <c r="HI127" s="43"/>
      <c r="HJ127" s="43"/>
      <c r="HK127" s="43"/>
      <c r="HL127" s="43"/>
      <c r="HM127" s="43"/>
      <c r="HN127" s="136"/>
      <c r="HO127" s="136"/>
      <c r="HP127" s="39">
        <f t="shared" si="78"/>
        <v>0</v>
      </c>
      <c r="HQ127" s="39">
        <f t="shared" si="103"/>
        <v>0</v>
      </c>
      <c r="HR127" s="39"/>
      <c r="HS127" s="39"/>
      <c r="HT127" s="39"/>
      <c r="HU127" s="43"/>
      <c r="HV127" s="39"/>
      <c r="HW127" s="39"/>
      <c r="HX127" s="39">
        <f t="shared" si="80"/>
        <v>0</v>
      </c>
      <c r="HY127" s="39">
        <f t="shared" si="104"/>
        <v>0</v>
      </c>
    </row>
    <row r="128" spans="1:233" ht="12.75" customHeight="1">
      <c r="A128" s="15" t="s">
        <v>275</v>
      </c>
      <c r="B128" s="34"/>
      <c r="C128" s="34"/>
      <c r="D128" s="39">
        <f>125+125+125+104+104+104+104+104+104+83.3+83.4+83.3</f>
        <v>1249</v>
      </c>
      <c r="E128" s="39">
        <f>125+125+125+104+104+104+104+104+104+83.3+83.4+83.3</f>
        <v>1249</v>
      </c>
      <c r="F128" s="34"/>
      <c r="G128" s="34"/>
      <c r="H128" s="34"/>
      <c r="I128" s="34"/>
      <c r="J128" s="34"/>
      <c r="K128" s="34"/>
      <c r="L128" s="34"/>
      <c r="M128" s="34"/>
      <c r="N128" s="34"/>
      <c r="O128" s="34"/>
      <c r="P128" s="34"/>
      <c r="Q128" s="34"/>
      <c r="R128" s="39">
        <v>465</v>
      </c>
      <c r="S128" s="39">
        <f>462.15388</f>
        <v>462.15388</v>
      </c>
      <c r="T128" s="39">
        <v>115.1961</v>
      </c>
      <c r="U128" s="39">
        <v>115.1961</v>
      </c>
      <c r="V128" s="39"/>
      <c r="W128" s="34"/>
      <c r="X128" s="34"/>
      <c r="Y128" s="34"/>
      <c r="Z128" s="34"/>
      <c r="AA128" s="34"/>
      <c r="AB128" s="34"/>
      <c r="AC128" s="34"/>
      <c r="AD128" s="34"/>
      <c r="AE128" s="34"/>
      <c r="AF128" s="39">
        <v>147</v>
      </c>
      <c r="AG128" s="48">
        <f>12.3+12.3+12.3+12.3+12.3+12.2+11.2+25.5+10.7+11+14.9</f>
        <v>147.00000000000003</v>
      </c>
      <c r="AH128" s="126">
        <f t="shared" si="65"/>
        <v>1976.1961000000001</v>
      </c>
      <c r="AI128" s="126">
        <f t="shared" si="98"/>
        <v>1973.34998</v>
      </c>
      <c r="AJ128" s="43"/>
      <c r="AK128" s="43"/>
      <c r="AL128" s="134"/>
      <c r="AM128" s="41"/>
      <c r="AN128" s="41"/>
      <c r="AO128" s="41"/>
      <c r="AP128" s="41"/>
      <c r="AQ128" s="41"/>
      <c r="AR128" s="39"/>
      <c r="AS128" s="39"/>
      <c r="AT128" s="43"/>
      <c r="AU128" s="43"/>
      <c r="AV128" s="43"/>
      <c r="AW128" s="43"/>
      <c r="AX128" s="43"/>
      <c r="AY128" s="43"/>
      <c r="AZ128" s="39">
        <f t="shared" si="67"/>
        <v>0</v>
      </c>
      <c r="BA128" s="39">
        <f t="shared" si="61"/>
        <v>0</v>
      </c>
      <c r="BB128" s="39">
        <v>0</v>
      </c>
      <c r="BC128" s="39">
        <v>0</v>
      </c>
      <c r="BD128" s="39"/>
      <c r="BE128" s="43"/>
      <c r="BF128" s="43"/>
      <c r="BG128" s="43"/>
      <c r="BH128" s="43"/>
      <c r="BI128" s="43"/>
      <c r="BJ128" s="43"/>
      <c r="BK128" s="43"/>
      <c r="BL128" s="43"/>
      <c r="BM128" s="43"/>
      <c r="BN128" s="45"/>
      <c r="BO128" s="45"/>
      <c r="BP128" s="45"/>
      <c r="BQ128" s="45"/>
      <c r="BR128" s="43"/>
      <c r="BS128" s="43"/>
      <c r="BT128" s="43"/>
      <c r="BU128" s="43"/>
      <c r="BV128" s="45"/>
      <c r="BW128" s="45"/>
      <c r="BX128" s="43"/>
      <c r="BY128" s="45"/>
      <c r="BZ128" s="43"/>
      <c r="CA128" s="45"/>
      <c r="CB128" s="45"/>
      <c r="CC128" s="45"/>
      <c r="CD128" s="45"/>
      <c r="CE128" s="45"/>
      <c r="CF128" s="39">
        <f t="shared" si="68"/>
        <v>0</v>
      </c>
      <c r="CG128" s="39">
        <f t="shared" si="99"/>
        <v>0</v>
      </c>
      <c r="CH128" s="39"/>
      <c r="CI128" s="39"/>
      <c r="CJ128" s="39"/>
      <c r="CK128" s="45"/>
      <c r="CL128" s="45"/>
      <c r="CM128" s="43"/>
      <c r="CN128" s="43"/>
      <c r="CO128" s="43"/>
      <c r="CP128" s="43"/>
      <c r="CQ128" s="39"/>
      <c r="CR128" s="43"/>
      <c r="CS128" s="45"/>
      <c r="CT128" s="45"/>
      <c r="CU128" s="45"/>
      <c r="CV128" s="45"/>
      <c r="CW128" s="43"/>
      <c r="CX128" s="43"/>
      <c r="CY128" s="43"/>
      <c r="CZ128" s="39"/>
      <c r="DA128" s="45"/>
      <c r="DB128" s="43"/>
      <c r="DC128" s="43"/>
      <c r="DD128" s="43"/>
      <c r="DE128" s="43"/>
      <c r="DF128" s="39">
        <f t="shared" si="70"/>
        <v>0</v>
      </c>
      <c r="DG128" s="39">
        <f t="shared" si="100"/>
        <v>0</v>
      </c>
      <c r="DH128" s="39"/>
      <c r="DI128" s="39"/>
      <c r="DJ128" s="39">
        <v>0</v>
      </c>
      <c r="DK128" s="39">
        <f t="shared" si="62"/>
        <v>0</v>
      </c>
      <c r="DL128" s="39"/>
      <c r="DM128" s="39"/>
      <c r="DN128" s="43"/>
      <c r="DO128" s="43"/>
      <c r="DP128" s="39">
        <f t="shared" si="72"/>
        <v>0</v>
      </c>
      <c r="DQ128" s="39">
        <f t="shared" si="63"/>
        <v>0</v>
      </c>
      <c r="DR128" s="39"/>
      <c r="DS128" s="39"/>
      <c r="DT128" s="43"/>
      <c r="DU128" s="43"/>
      <c r="DV128" s="43"/>
      <c r="DW128" s="43"/>
      <c r="DX128" s="43"/>
      <c r="DY128" s="43"/>
      <c r="DZ128" s="39"/>
      <c r="EA128" s="39"/>
      <c r="EB128" s="43"/>
      <c r="EC128" s="43"/>
      <c r="ED128" s="43"/>
      <c r="EE128" s="43"/>
      <c r="EF128" s="39"/>
      <c r="EG128" s="43"/>
      <c r="EH128" s="43">
        <v>361</v>
      </c>
      <c r="EI128" s="39">
        <v>258.98509</v>
      </c>
      <c r="EJ128" s="39">
        <v>36</v>
      </c>
      <c r="EK128" s="43">
        <v>36</v>
      </c>
      <c r="EL128" s="43"/>
      <c r="EM128" s="43"/>
      <c r="EN128" s="45"/>
      <c r="EO128" s="45"/>
      <c r="EP128" s="43"/>
      <c r="EQ128" s="43"/>
      <c r="ER128" s="43"/>
      <c r="ES128" s="43"/>
      <c r="ET128" s="135"/>
      <c r="EU128" s="135"/>
      <c r="EV128" s="135"/>
      <c r="EW128" s="135"/>
      <c r="EX128" s="43"/>
      <c r="EY128" s="43"/>
      <c r="EZ128" s="43"/>
      <c r="FA128" s="43"/>
      <c r="FB128" s="37">
        <f t="shared" si="73"/>
        <v>397</v>
      </c>
      <c r="FC128" s="37">
        <f t="shared" si="101"/>
        <v>294.98509</v>
      </c>
      <c r="FD128" s="39"/>
      <c r="FE128" s="39"/>
      <c r="FF128" s="43"/>
      <c r="FG128" s="43"/>
      <c r="FH128" s="132">
        <f t="shared" si="75"/>
        <v>0</v>
      </c>
      <c r="FI128" s="132">
        <f t="shared" si="64"/>
        <v>0</v>
      </c>
      <c r="FJ128" s="39"/>
      <c r="FK128" s="39"/>
      <c r="FL128" s="43"/>
      <c r="FM128" s="43"/>
      <c r="FN128" s="43"/>
      <c r="FO128" s="43"/>
      <c r="FP128" s="43"/>
      <c r="FQ128" s="43"/>
      <c r="FR128" s="39"/>
      <c r="FS128" s="135"/>
      <c r="FT128" s="43"/>
      <c r="FU128" s="43"/>
      <c r="FV128" s="43"/>
      <c r="FW128" s="43"/>
      <c r="FX128" s="43"/>
      <c r="FY128" s="43"/>
      <c r="FZ128" s="43"/>
      <c r="GA128" s="43"/>
      <c r="GB128" s="43"/>
      <c r="GC128" s="43"/>
      <c r="GD128" s="135"/>
      <c r="GE128" s="135"/>
      <c r="GF128" s="43"/>
      <c r="GG128" s="43"/>
      <c r="GH128" s="43"/>
      <c r="GI128" s="43"/>
      <c r="GJ128" s="43"/>
      <c r="GK128" s="43"/>
      <c r="GL128" s="43"/>
      <c r="GM128" s="43"/>
      <c r="GN128" s="43"/>
      <c r="GO128" s="43"/>
      <c r="GP128" s="43"/>
      <c r="GQ128" s="43"/>
      <c r="GR128" s="43"/>
      <c r="GS128" s="43"/>
      <c r="GT128" s="43"/>
      <c r="GU128" s="43"/>
      <c r="GV128" s="43"/>
      <c r="GW128" s="43"/>
      <c r="GX128" s="45"/>
      <c r="GY128" s="45"/>
      <c r="GZ128" s="43"/>
      <c r="HA128" s="43"/>
      <c r="HB128" s="43"/>
      <c r="HC128" s="43"/>
      <c r="HD128" s="39">
        <f t="shared" si="76"/>
        <v>0</v>
      </c>
      <c r="HE128" s="39">
        <f t="shared" si="102"/>
        <v>0</v>
      </c>
      <c r="HF128" s="39"/>
      <c r="HG128" s="39"/>
      <c r="HH128" s="39"/>
      <c r="HI128" s="43"/>
      <c r="HJ128" s="43"/>
      <c r="HK128" s="43"/>
      <c r="HL128" s="43"/>
      <c r="HM128" s="43"/>
      <c r="HN128" s="136"/>
      <c r="HO128" s="136"/>
      <c r="HP128" s="39">
        <f t="shared" si="78"/>
        <v>0</v>
      </c>
      <c r="HQ128" s="39">
        <f t="shared" si="103"/>
        <v>0</v>
      </c>
      <c r="HR128" s="39"/>
      <c r="HS128" s="39"/>
      <c r="HT128" s="39"/>
      <c r="HU128" s="43"/>
      <c r="HV128" s="39"/>
      <c r="HW128" s="39"/>
      <c r="HX128" s="39">
        <f t="shared" si="80"/>
        <v>0</v>
      </c>
      <c r="HY128" s="39">
        <f t="shared" si="104"/>
        <v>0</v>
      </c>
    </row>
    <row r="129" spans="1:233" ht="12.75">
      <c r="A129" s="15" t="s">
        <v>276</v>
      </c>
      <c r="B129" s="34"/>
      <c r="C129" s="34"/>
      <c r="D129" s="39">
        <f>73+73+73+61+61+60+61+61+60+48.7+48.7+48.6</f>
        <v>729.0000000000001</v>
      </c>
      <c r="E129" s="39">
        <f>73+73+73+61+61+60+61+61+60+48.7+48.7+48.6</f>
        <v>729.0000000000001</v>
      </c>
      <c r="F129" s="34"/>
      <c r="G129" s="34"/>
      <c r="H129" s="34"/>
      <c r="I129" s="34"/>
      <c r="J129" s="34"/>
      <c r="K129" s="34"/>
      <c r="L129" s="34"/>
      <c r="M129" s="34"/>
      <c r="N129" s="34"/>
      <c r="O129" s="34"/>
      <c r="P129" s="34"/>
      <c r="Q129" s="34"/>
      <c r="R129" s="39">
        <v>255</v>
      </c>
      <c r="S129" s="39">
        <f>255</f>
        <v>255</v>
      </c>
      <c r="T129" s="39">
        <v>59.33654</v>
      </c>
      <c r="U129" s="39">
        <v>59.33654</v>
      </c>
      <c r="V129" s="39"/>
      <c r="W129" s="34"/>
      <c r="X129" s="34"/>
      <c r="Y129" s="34"/>
      <c r="Z129" s="34"/>
      <c r="AA129" s="34"/>
      <c r="AB129" s="34"/>
      <c r="AC129" s="34"/>
      <c r="AD129" s="34"/>
      <c r="AE129" s="34"/>
      <c r="AF129" s="39">
        <v>73</v>
      </c>
      <c r="AG129" s="48">
        <f>6.1+6.1+6.1+6.1+6.1+3.7+7.8+5+6+10+10</f>
        <v>73</v>
      </c>
      <c r="AH129" s="126">
        <f t="shared" si="65"/>
        <v>1116.33654</v>
      </c>
      <c r="AI129" s="126">
        <f t="shared" si="98"/>
        <v>1116.33654</v>
      </c>
      <c r="AJ129" s="43"/>
      <c r="AK129" s="43"/>
      <c r="AL129" s="134"/>
      <c r="AM129" s="41"/>
      <c r="AN129" s="41"/>
      <c r="AO129" s="41"/>
      <c r="AP129" s="41"/>
      <c r="AQ129" s="41"/>
      <c r="AR129" s="39"/>
      <c r="AS129" s="39"/>
      <c r="AT129" s="43"/>
      <c r="AU129" s="43"/>
      <c r="AV129" s="43"/>
      <c r="AW129" s="43"/>
      <c r="AX129" s="43"/>
      <c r="AY129" s="43"/>
      <c r="AZ129" s="39">
        <f t="shared" si="67"/>
        <v>0</v>
      </c>
      <c r="BA129" s="39">
        <f t="shared" si="61"/>
        <v>0</v>
      </c>
      <c r="BB129" s="39">
        <v>0</v>
      </c>
      <c r="BC129" s="39">
        <v>0</v>
      </c>
      <c r="BD129" s="39"/>
      <c r="BE129" s="43"/>
      <c r="BF129" s="43"/>
      <c r="BG129" s="43"/>
      <c r="BH129" s="43"/>
      <c r="BI129" s="43"/>
      <c r="BJ129" s="43"/>
      <c r="BK129" s="43"/>
      <c r="BL129" s="43"/>
      <c r="BM129" s="43"/>
      <c r="BN129" s="45"/>
      <c r="BO129" s="45"/>
      <c r="BP129" s="45"/>
      <c r="BQ129" s="45"/>
      <c r="BR129" s="43"/>
      <c r="BS129" s="43"/>
      <c r="BT129" s="43"/>
      <c r="BU129" s="43"/>
      <c r="BV129" s="45"/>
      <c r="BW129" s="45"/>
      <c r="BX129" s="43"/>
      <c r="BY129" s="45"/>
      <c r="BZ129" s="43"/>
      <c r="CA129" s="45"/>
      <c r="CB129" s="45"/>
      <c r="CC129" s="45"/>
      <c r="CD129" s="45"/>
      <c r="CE129" s="45"/>
      <c r="CF129" s="39">
        <f t="shared" si="68"/>
        <v>0</v>
      </c>
      <c r="CG129" s="39">
        <f t="shared" si="99"/>
        <v>0</v>
      </c>
      <c r="CH129" s="39"/>
      <c r="CI129" s="39"/>
      <c r="CJ129" s="39"/>
      <c r="CK129" s="45"/>
      <c r="CL129" s="45"/>
      <c r="CM129" s="43"/>
      <c r="CN129" s="43"/>
      <c r="CO129" s="43"/>
      <c r="CP129" s="43"/>
      <c r="CQ129" s="39"/>
      <c r="CR129" s="43"/>
      <c r="CS129" s="45"/>
      <c r="CT129" s="45"/>
      <c r="CU129" s="45"/>
      <c r="CV129" s="45"/>
      <c r="CW129" s="43"/>
      <c r="CX129" s="43"/>
      <c r="CY129" s="43"/>
      <c r="CZ129" s="39"/>
      <c r="DA129" s="45"/>
      <c r="DB129" s="43"/>
      <c r="DC129" s="43"/>
      <c r="DD129" s="43"/>
      <c r="DE129" s="43"/>
      <c r="DF129" s="39">
        <f t="shared" si="70"/>
        <v>0</v>
      </c>
      <c r="DG129" s="39">
        <f t="shared" si="100"/>
        <v>0</v>
      </c>
      <c r="DH129" s="39"/>
      <c r="DI129" s="39"/>
      <c r="DJ129" s="39">
        <v>0</v>
      </c>
      <c r="DK129" s="39">
        <f t="shared" si="62"/>
        <v>0</v>
      </c>
      <c r="DL129" s="39"/>
      <c r="DM129" s="39"/>
      <c r="DN129" s="43"/>
      <c r="DO129" s="43"/>
      <c r="DP129" s="39">
        <f t="shared" si="72"/>
        <v>0</v>
      </c>
      <c r="DQ129" s="39">
        <f t="shared" si="63"/>
        <v>0</v>
      </c>
      <c r="DR129" s="39"/>
      <c r="DS129" s="39"/>
      <c r="DT129" s="43"/>
      <c r="DU129" s="43"/>
      <c r="DV129" s="43"/>
      <c r="DW129" s="43"/>
      <c r="DX129" s="43"/>
      <c r="DY129" s="43"/>
      <c r="DZ129" s="39"/>
      <c r="EA129" s="39"/>
      <c r="EB129" s="43"/>
      <c r="EC129" s="43"/>
      <c r="ED129" s="43"/>
      <c r="EE129" s="43"/>
      <c r="EF129" s="39"/>
      <c r="EG129" s="43"/>
      <c r="EH129" s="43">
        <v>0</v>
      </c>
      <c r="EI129" s="45"/>
      <c r="EJ129" s="39">
        <v>0</v>
      </c>
      <c r="EK129" s="43">
        <v>0</v>
      </c>
      <c r="EL129" s="43"/>
      <c r="EM129" s="43"/>
      <c r="EN129" s="45"/>
      <c r="EO129" s="45"/>
      <c r="EP129" s="43"/>
      <c r="EQ129" s="43"/>
      <c r="ER129" s="43"/>
      <c r="ES129" s="43"/>
      <c r="ET129" s="135"/>
      <c r="EU129" s="135"/>
      <c r="EV129" s="135"/>
      <c r="EW129" s="135"/>
      <c r="EX129" s="43"/>
      <c r="EY129" s="43"/>
      <c r="EZ129" s="43"/>
      <c r="FA129" s="43"/>
      <c r="FB129" s="37">
        <f t="shared" si="73"/>
        <v>0</v>
      </c>
      <c r="FC129" s="37">
        <f t="shared" si="101"/>
        <v>0</v>
      </c>
      <c r="FD129" s="39"/>
      <c r="FE129" s="39"/>
      <c r="FF129" s="43"/>
      <c r="FG129" s="43"/>
      <c r="FH129" s="132">
        <f t="shared" si="75"/>
        <v>0</v>
      </c>
      <c r="FI129" s="132">
        <f t="shared" si="64"/>
        <v>0</v>
      </c>
      <c r="FJ129" s="39"/>
      <c r="FK129" s="39"/>
      <c r="FL129" s="43"/>
      <c r="FM129" s="43"/>
      <c r="FN129" s="43"/>
      <c r="FO129" s="43"/>
      <c r="FP129" s="43"/>
      <c r="FQ129" s="43"/>
      <c r="FR129" s="39"/>
      <c r="FS129" s="135"/>
      <c r="FT129" s="43"/>
      <c r="FU129" s="43"/>
      <c r="FV129" s="43"/>
      <c r="FW129" s="43"/>
      <c r="FX129" s="43"/>
      <c r="FY129" s="43"/>
      <c r="FZ129" s="43"/>
      <c r="GA129" s="43"/>
      <c r="GB129" s="43"/>
      <c r="GC129" s="43"/>
      <c r="GD129" s="135"/>
      <c r="GE129" s="135"/>
      <c r="GF129" s="43"/>
      <c r="GG129" s="43"/>
      <c r="GH129" s="43"/>
      <c r="GI129" s="43"/>
      <c r="GJ129" s="43"/>
      <c r="GK129" s="43"/>
      <c r="GL129" s="43"/>
      <c r="GM129" s="43"/>
      <c r="GN129" s="43"/>
      <c r="GO129" s="43"/>
      <c r="GP129" s="43"/>
      <c r="GQ129" s="43"/>
      <c r="GR129" s="43"/>
      <c r="GS129" s="43"/>
      <c r="GT129" s="43"/>
      <c r="GU129" s="43"/>
      <c r="GV129" s="43"/>
      <c r="GW129" s="43"/>
      <c r="GX129" s="45"/>
      <c r="GY129" s="45"/>
      <c r="GZ129" s="43"/>
      <c r="HA129" s="43"/>
      <c r="HB129" s="43"/>
      <c r="HC129" s="43"/>
      <c r="HD129" s="39">
        <f t="shared" si="76"/>
        <v>0</v>
      </c>
      <c r="HE129" s="39">
        <f t="shared" si="102"/>
        <v>0</v>
      </c>
      <c r="HF129" s="39"/>
      <c r="HG129" s="39"/>
      <c r="HH129" s="39"/>
      <c r="HI129" s="43"/>
      <c r="HJ129" s="43"/>
      <c r="HK129" s="43"/>
      <c r="HL129" s="43"/>
      <c r="HM129" s="43"/>
      <c r="HN129" s="136"/>
      <c r="HO129" s="136"/>
      <c r="HP129" s="39">
        <f t="shared" si="78"/>
        <v>0</v>
      </c>
      <c r="HQ129" s="39">
        <f t="shared" si="103"/>
        <v>0</v>
      </c>
      <c r="HR129" s="39"/>
      <c r="HS129" s="39"/>
      <c r="HT129" s="39"/>
      <c r="HU129" s="43"/>
      <c r="HV129" s="39"/>
      <c r="HW129" s="39"/>
      <c r="HX129" s="39">
        <f t="shared" si="80"/>
        <v>0</v>
      </c>
      <c r="HY129" s="39">
        <f t="shared" si="104"/>
        <v>0</v>
      </c>
    </row>
    <row r="130" spans="1:233" ht="12.75" customHeight="1">
      <c r="A130" s="15" t="s">
        <v>277</v>
      </c>
      <c r="B130" s="34"/>
      <c r="C130" s="34"/>
      <c r="D130" s="39">
        <f>215+215+215+179+179+180+179+179+180+143.3+143.4+143.3</f>
        <v>2151</v>
      </c>
      <c r="E130" s="39">
        <f>215+215+215+179+179+180+179+179+180+143.3+143.4+143.3</f>
        <v>2151</v>
      </c>
      <c r="F130" s="34"/>
      <c r="G130" s="34"/>
      <c r="H130" s="34"/>
      <c r="I130" s="34"/>
      <c r="J130" s="34"/>
      <c r="K130" s="34"/>
      <c r="L130" s="34"/>
      <c r="M130" s="34"/>
      <c r="N130" s="34"/>
      <c r="O130" s="34"/>
      <c r="P130" s="34"/>
      <c r="Q130" s="34"/>
      <c r="R130" s="39">
        <v>220</v>
      </c>
      <c r="S130" s="39">
        <f>218.96829</f>
        <v>218.96829</v>
      </c>
      <c r="T130" s="39">
        <v>3.7007</v>
      </c>
      <c r="U130" s="39">
        <v>3.7007</v>
      </c>
      <c r="V130" s="39"/>
      <c r="W130" s="34"/>
      <c r="X130" s="34"/>
      <c r="Y130" s="34"/>
      <c r="Z130" s="34"/>
      <c r="AA130" s="34"/>
      <c r="AB130" s="34"/>
      <c r="AC130" s="34"/>
      <c r="AD130" s="34"/>
      <c r="AE130" s="34"/>
      <c r="AF130" s="39">
        <v>73</v>
      </c>
      <c r="AG130" s="48">
        <f>6.1+6.1+6.1+6.1+6.1+5.6+11.6+4+6.5+5+5+4.8</f>
        <v>73</v>
      </c>
      <c r="AH130" s="126">
        <f t="shared" si="65"/>
        <v>2447.7007</v>
      </c>
      <c r="AI130" s="126">
        <f t="shared" si="98"/>
        <v>2446.6689899999997</v>
      </c>
      <c r="AJ130" s="43"/>
      <c r="AK130" s="43"/>
      <c r="AL130" s="134"/>
      <c r="AM130" s="41"/>
      <c r="AN130" s="41"/>
      <c r="AO130" s="41"/>
      <c r="AP130" s="41"/>
      <c r="AQ130" s="41"/>
      <c r="AR130" s="39"/>
      <c r="AS130" s="39"/>
      <c r="AT130" s="43"/>
      <c r="AU130" s="43"/>
      <c r="AV130" s="43"/>
      <c r="AW130" s="43"/>
      <c r="AX130" s="43"/>
      <c r="AY130" s="43"/>
      <c r="AZ130" s="39">
        <f t="shared" si="67"/>
        <v>0</v>
      </c>
      <c r="BA130" s="39">
        <f t="shared" si="61"/>
        <v>0</v>
      </c>
      <c r="BB130" s="39">
        <v>0</v>
      </c>
      <c r="BC130" s="39">
        <v>0</v>
      </c>
      <c r="BD130" s="39">
        <v>170.2</v>
      </c>
      <c r="BE130" s="43">
        <v>170.097</v>
      </c>
      <c r="BF130" s="43"/>
      <c r="BG130" s="43"/>
      <c r="BH130" s="43"/>
      <c r="BI130" s="43"/>
      <c r="BJ130" s="43"/>
      <c r="BK130" s="43"/>
      <c r="BL130" s="43"/>
      <c r="BM130" s="43"/>
      <c r="BN130" s="45"/>
      <c r="BO130" s="45"/>
      <c r="BP130" s="45"/>
      <c r="BQ130" s="45"/>
      <c r="BR130" s="43"/>
      <c r="BS130" s="43"/>
      <c r="BT130" s="43"/>
      <c r="BU130" s="43"/>
      <c r="BV130" s="45"/>
      <c r="BW130" s="45"/>
      <c r="BX130" s="43"/>
      <c r="BY130" s="45"/>
      <c r="BZ130" s="43"/>
      <c r="CA130" s="45"/>
      <c r="CB130" s="45"/>
      <c r="CC130" s="45"/>
      <c r="CD130" s="45"/>
      <c r="CE130" s="45"/>
      <c r="CF130" s="39">
        <f t="shared" si="68"/>
        <v>170.2</v>
      </c>
      <c r="CG130" s="39">
        <f t="shared" si="99"/>
        <v>170.097</v>
      </c>
      <c r="CH130" s="39"/>
      <c r="CI130" s="39"/>
      <c r="CJ130" s="39"/>
      <c r="CK130" s="45"/>
      <c r="CL130" s="45"/>
      <c r="CM130" s="43"/>
      <c r="CN130" s="43"/>
      <c r="CO130" s="43"/>
      <c r="CP130" s="43"/>
      <c r="CQ130" s="39"/>
      <c r="CR130" s="43"/>
      <c r="CS130" s="45"/>
      <c r="CT130" s="45"/>
      <c r="CU130" s="45"/>
      <c r="CV130" s="45"/>
      <c r="CW130" s="43"/>
      <c r="CX130" s="43"/>
      <c r="CY130" s="43"/>
      <c r="CZ130" s="39"/>
      <c r="DA130" s="45"/>
      <c r="DB130" s="43"/>
      <c r="DC130" s="43"/>
      <c r="DD130" s="43"/>
      <c r="DE130" s="43"/>
      <c r="DF130" s="39">
        <f t="shared" si="70"/>
        <v>0</v>
      </c>
      <c r="DG130" s="39">
        <f t="shared" si="100"/>
        <v>0</v>
      </c>
      <c r="DH130" s="39"/>
      <c r="DI130" s="39"/>
      <c r="DJ130" s="39">
        <v>0</v>
      </c>
      <c r="DK130" s="39">
        <f t="shared" si="62"/>
        <v>0</v>
      </c>
      <c r="DL130" s="39"/>
      <c r="DM130" s="39"/>
      <c r="DN130" s="43"/>
      <c r="DO130" s="43"/>
      <c r="DP130" s="39">
        <f t="shared" si="72"/>
        <v>0</v>
      </c>
      <c r="DQ130" s="39">
        <f t="shared" si="63"/>
        <v>0</v>
      </c>
      <c r="DR130" s="39"/>
      <c r="DS130" s="39"/>
      <c r="DT130" s="43"/>
      <c r="DU130" s="43"/>
      <c r="DV130" s="43"/>
      <c r="DW130" s="43"/>
      <c r="DX130" s="43"/>
      <c r="DY130" s="43"/>
      <c r="DZ130" s="39"/>
      <c r="EA130" s="39"/>
      <c r="EB130" s="43"/>
      <c r="EC130" s="43"/>
      <c r="ED130" s="43"/>
      <c r="EE130" s="43"/>
      <c r="EF130" s="39">
        <v>1398</v>
      </c>
      <c r="EG130" s="43">
        <v>1398</v>
      </c>
      <c r="EH130" s="43">
        <v>682.3</v>
      </c>
      <c r="EI130" s="39">
        <v>682.3</v>
      </c>
      <c r="EJ130" s="39">
        <v>114</v>
      </c>
      <c r="EK130" s="43">
        <v>114</v>
      </c>
      <c r="EL130" s="43"/>
      <c r="EM130" s="43"/>
      <c r="EN130" s="45"/>
      <c r="EO130" s="45"/>
      <c r="EP130" s="43"/>
      <c r="EQ130" s="43"/>
      <c r="ER130" s="43"/>
      <c r="ES130" s="43"/>
      <c r="ET130" s="135"/>
      <c r="EU130" s="135"/>
      <c r="EV130" s="135"/>
      <c r="EW130" s="135"/>
      <c r="EX130" s="43"/>
      <c r="EY130" s="43"/>
      <c r="EZ130" s="43"/>
      <c r="FA130" s="43"/>
      <c r="FB130" s="37">
        <f t="shared" si="73"/>
        <v>2194.3</v>
      </c>
      <c r="FC130" s="37">
        <f t="shared" si="101"/>
        <v>2194.3</v>
      </c>
      <c r="FD130" s="39"/>
      <c r="FE130" s="39"/>
      <c r="FF130" s="43"/>
      <c r="FG130" s="43"/>
      <c r="FH130" s="132">
        <f t="shared" si="75"/>
        <v>0</v>
      </c>
      <c r="FI130" s="132">
        <f t="shared" si="64"/>
        <v>0</v>
      </c>
      <c r="FJ130" s="39"/>
      <c r="FK130" s="39"/>
      <c r="FL130" s="43"/>
      <c r="FM130" s="43"/>
      <c r="FN130" s="43"/>
      <c r="FO130" s="43"/>
      <c r="FP130" s="43"/>
      <c r="FQ130" s="43"/>
      <c r="FR130" s="39"/>
      <c r="FS130" s="135"/>
      <c r="FT130" s="43"/>
      <c r="FU130" s="43"/>
      <c r="FV130" s="43"/>
      <c r="FW130" s="43"/>
      <c r="FX130" s="43"/>
      <c r="FY130" s="43"/>
      <c r="FZ130" s="43"/>
      <c r="GA130" s="43"/>
      <c r="GB130" s="43"/>
      <c r="GC130" s="43"/>
      <c r="GD130" s="135"/>
      <c r="GE130" s="135"/>
      <c r="GF130" s="43"/>
      <c r="GG130" s="43"/>
      <c r="GH130" s="43"/>
      <c r="GI130" s="43"/>
      <c r="GJ130" s="43"/>
      <c r="GK130" s="43"/>
      <c r="GL130" s="43"/>
      <c r="GM130" s="43"/>
      <c r="GN130" s="43"/>
      <c r="GO130" s="43"/>
      <c r="GP130" s="43"/>
      <c r="GQ130" s="43"/>
      <c r="GR130" s="43"/>
      <c r="GS130" s="43"/>
      <c r="GT130" s="43"/>
      <c r="GU130" s="43"/>
      <c r="GV130" s="43"/>
      <c r="GW130" s="43"/>
      <c r="GX130" s="45"/>
      <c r="GY130" s="45"/>
      <c r="GZ130" s="43"/>
      <c r="HA130" s="43"/>
      <c r="HB130" s="43"/>
      <c r="HC130" s="43"/>
      <c r="HD130" s="39">
        <f t="shared" si="76"/>
        <v>0</v>
      </c>
      <c r="HE130" s="39">
        <f t="shared" si="102"/>
        <v>0</v>
      </c>
      <c r="HF130" s="39"/>
      <c r="HG130" s="39"/>
      <c r="HH130" s="39"/>
      <c r="HI130" s="43"/>
      <c r="HJ130" s="43"/>
      <c r="HK130" s="43"/>
      <c r="HL130" s="43"/>
      <c r="HM130" s="43"/>
      <c r="HN130" s="136"/>
      <c r="HO130" s="136"/>
      <c r="HP130" s="39">
        <f t="shared" si="78"/>
        <v>0</v>
      </c>
      <c r="HQ130" s="39">
        <f t="shared" si="103"/>
        <v>0</v>
      </c>
      <c r="HR130" s="39"/>
      <c r="HS130" s="39"/>
      <c r="HT130" s="39"/>
      <c r="HU130" s="43"/>
      <c r="HV130" s="39"/>
      <c r="HW130" s="39"/>
      <c r="HX130" s="39">
        <f t="shared" si="80"/>
        <v>0</v>
      </c>
      <c r="HY130" s="39">
        <f t="shared" si="104"/>
        <v>0</v>
      </c>
    </row>
    <row r="131" spans="1:233" ht="12.75">
      <c r="A131" s="15" t="s">
        <v>278</v>
      </c>
      <c r="B131" s="34"/>
      <c r="C131" s="34"/>
      <c r="D131" s="39">
        <f>165+165+166+138+138+138+138+138+138+110+110+110</f>
        <v>1654</v>
      </c>
      <c r="E131" s="39">
        <f>165+165+166+138+138+138+138+138+138+110+110+110</f>
        <v>1654</v>
      </c>
      <c r="F131" s="34"/>
      <c r="G131" s="34"/>
      <c r="H131" s="34"/>
      <c r="I131" s="34"/>
      <c r="J131" s="34"/>
      <c r="K131" s="34"/>
      <c r="L131" s="34"/>
      <c r="M131" s="34"/>
      <c r="N131" s="34"/>
      <c r="O131" s="34"/>
      <c r="P131" s="34"/>
      <c r="Q131" s="34"/>
      <c r="R131" s="39">
        <v>395</v>
      </c>
      <c r="S131" s="39">
        <f>394.93853</f>
        <v>394.93853</v>
      </c>
      <c r="T131" s="39">
        <v>76.06517</v>
      </c>
      <c r="U131" s="39">
        <v>76.06517</v>
      </c>
      <c r="V131" s="39"/>
      <c r="W131" s="34"/>
      <c r="X131" s="34"/>
      <c r="Y131" s="34"/>
      <c r="Z131" s="34"/>
      <c r="AA131" s="34"/>
      <c r="AB131" s="34"/>
      <c r="AC131" s="34"/>
      <c r="AD131" s="34"/>
      <c r="AE131" s="34"/>
      <c r="AF131" s="39">
        <v>73</v>
      </c>
      <c r="AG131" s="34">
        <f>6.1+6.1+6.1+6.1+6.1+6.1+6.1+8.5+6.1+4.2+5+6.5</f>
        <v>73</v>
      </c>
      <c r="AH131" s="126">
        <f t="shared" si="65"/>
        <v>2198.06517</v>
      </c>
      <c r="AI131" s="126">
        <f t="shared" si="98"/>
        <v>2198.0036999999998</v>
      </c>
      <c r="AJ131" s="43"/>
      <c r="AK131" s="43"/>
      <c r="AL131" s="134"/>
      <c r="AM131" s="41"/>
      <c r="AN131" s="41"/>
      <c r="AO131" s="41"/>
      <c r="AP131" s="41"/>
      <c r="AQ131" s="41"/>
      <c r="AR131" s="39"/>
      <c r="AS131" s="39"/>
      <c r="AT131" s="43"/>
      <c r="AU131" s="43"/>
      <c r="AV131" s="43"/>
      <c r="AW131" s="43"/>
      <c r="AX131" s="43"/>
      <c r="AY131" s="43"/>
      <c r="AZ131" s="39">
        <f t="shared" si="67"/>
        <v>0</v>
      </c>
      <c r="BA131" s="39">
        <f t="shared" si="61"/>
        <v>0</v>
      </c>
      <c r="BB131" s="39">
        <v>0</v>
      </c>
      <c r="BC131" s="39">
        <v>0</v>
      </c>
      <c r="BD131" s="39">
        <v>218.9</v>
      </c>
      <c r="BE131" s="43">
        <v>218.9</v>
      </c>
      <c r="BF131" s="43"/>
      <c r="BG131" s="43"/>
      <c r="BH131" s="43"/>
      <c r="BI131" s="43"/>
      <c r="BJ131" s="43"/>
      <c r="BK131" s="43"/>
      <c r="BL131" s="43"/>
      <c r="BM131" s="43"/>
      <c r="BN131" s="45"/>
      <c r="BO131" s="45"/>
      <c r="BP131" s="45"/>
      <c r="BQ131" s="45"/>
      <c r="BR131" s="43"/>
      <c r="BS131" s="43"/>
      <c r="BT131" s="43"/>
      <c r="BU131" s="43"/>
      <c r="BV131" s="45"/>
      <c r="BW131" s="45"/>
      <c r="BX131" s="43"/>
      <c r="BY131" s="45"/>
      <c r="BZ131" s="43"/>
      <c r="CA131" s="45"/>
      <c r="CB131" s="45"/>
      <c r="CC131" s="45"/>
      <c r="CD131" s="45"/>
      <c r="CE131" s="45"/>
      <c r="CF131" s="39">
        <f t="shared" si="68"/>
        <v>218.9</v>
      </c>
      <c r="CG131" s="39">
        <f t="shared" si="99"/>
        <v>218.9</v>
      </c>
      <c r="CH131" s="39"/>
      <c r="CI131" s="39"/>
      <c r="CJ131" s="39"/>
      <c r="CK131" s="45"/>
      <c r="CL131" s="45"/>
      <c r="CM131" s="43"/>
      <c r="CN131" s="43"/>
      <c r="CO131" s="43"/>
      <c r="CP131" s="43"/>
      <c r="CQ131" s="39"/>
      <c r="CR131" s="43"/>
      <c r="CS131" s="45"/>
      <c r="CT131" s="45"/>
      <c r="CU131" s="45"/>
      <c r="CV131" s="45"/>
      <c r="CW131" s="43"/>
      <c r="CX131" s="43"/>
      <c r="CY131" s="43"/>
      <c r="CZ131" s="39"/>
      <c r="DA131" s="45"/>
      <c r="DB131" s="43"/>
      <c r="DC131" s="43"/>
      <c r="DD131" s="43"/>
      <c r="DE131" s="43"/>
      <c r="DF131" s="39">
        <f t="shared" si="70"/>
        <v>0</v>
      </c>
      <c r="DG131" s="39">
        <f t="shared" si="100"/>
        <v>0</v>
      </c>
      <c r="DH131" s="39"/>
      <c r="DI131" s="39"/>
      <c r="DJ131" s="39">
        <v>0</v>
      </c>
      <c r="DK131" s="39">
        <f t="shared" si="62"/>
        <v>0</v>
      </c>
      <c r="DL131" s="39"/>
      <c r="DM131" s="39"/>
      <c r="DN131" s="43"/>
      <c r="DO131" s="43"/>
      <c r="DP131" s="39">
        <f t="shared" si="72"/>
        <v>0</v>
      </c>
      <c r="DQ131" s="39">
        <f t="shared" si="63"/>
        <v>0</v>
      </c>
      <c r="DR131" s="39"/>
      <c r="DS131" s="39"/>
      <c r="DT131" s="43"/>
      <c r="DU131" s="43"/>
      <c r="DV131" s="43"/>
      <c r="DW131" s="43"/>
      <c r="DX131" s="43"/>
      <c r="DY131" s="43"/>
      <c r="DZ131" s="39"/>
      <c r="EA131" s="39"/>
      <c r="EB131" s="43"/>
      <c r="EC131" s="43"/>
      <c r="ED131" s="43"/>
      <c r="EE131" s="43"/>
      <c r="EF131" s="39"/>
      <c r="EG131" s="43"/>
      <c r="EH131" s="43">
        <v>211</v>
      </c>
      <c r="EI131" s="39">
        <v>211</v>
      </c>
      <c r="EJ131" s="39">
        <v>13</v>
      </c>
      <c r="EK131" s="43">
        <v>13</v>
      </c>
      <c r="EL131" s="43"/>
      <c r="EM131" s="43"/>
      <c r="EN131" s="45"/>
      <c r="EO131" s="45"/>
      <c r="EP131" s="43"/>
      <c r="EQ131" s="43"/>
      <c r="ER131" s="43"/>
      <c r="ES131" s="43"/>
      <c r="ET131" s="135"/>
      <c r="EU131" s="135"/>
      <c r="EV131" s="135"/>
      <c r="EW131" s="135"/>
      <c r="EX131" s="43"/>
      <c r="EY131" s="43"/>
      <c r="EZ131" s="43"/>
      <c r="FA131" s="43"/>
      <c r="FB131" s="37">
        <f t="shared" si="73"/>
        <v>224</v>
      </c>
      <c r="FC131" s="37">
        <f t="shared" si="101"/>
        <v>224</v>
      </c>
      <c r="FD131" s="39"/>
      <c r="FE131" s="39"/>
      <c r="FF131" s="43"/>
      <c r="FG131" s="43"/>
      <c r="FH131" s="132">
        <f t="shared" si="75"/>
        <v>0</v>
      </c>
      <c r="FI131" s="132">
        <f t="shared" si="64"/>
        <v>0</v>
      </c>
      <c r="FJ131" s="39"/>
      <c r="FK131" s="39"/>
      <c r="FL131" s="43"/>
      <c r="FM131" s="43"/>
      <c r="FN131" s="43"/>
      <c r="FO131" s="43"/>
      <c r="FP131" s="43"/>
      <c r="FQ131" s="43"/>
      <c r="FR131" s="39"/>
      <c r="FS131" s="135"/>
      <c r="FT131" s="43"/>
      <c r="FU131" s="43"/>
      <c r="FV131" s="43"/>
      <c r="FW131" s="43"/>
      <c r="FX131" s="43"/>
      <c r="FY131" s="43"/>
      <c r="FZ131" s="43"/>
      <c r="GA131" s="43"/>
      <c r="GB131" s="43"/>
      <c r="GC131" s="43"/>
      <c r="GD131" s="135"/>
      <c r="GE131" s="135"/>
      <c r="GF131" s="43"/>
      <c r="GG131" s="43"/>
      <c r="GH131" s="43"/>
      <c r="GI131" s="43"/>
      <c r="GJ131" s="43"/>
      <c r="GK131" s="43"/>
      <c r="GL131" s="43"/>
      <c r="GM131" s="43"/>
      <c r="GN131" s="43"/>
      <c r="GO131" s="43"/>
      <c r="GP131" s="43"/>
      <c r="GQ131" s="43"/>
      <c r="GR131" s="43"/>
      <c r="GS131" s="43"/>
      <c r="GT131" s="43"/>
      <c r="GU131" s="43"/>
      <c r="GV131" s="43"/>
      <c r="GW131" s="43"/>
      <c r="GX131" s="45"/>
      <c r="GY131" s="45"/>
      <c r="GZ131" s="43"/>
      <c r="HA131" s="43"/>
      <c r="HB131" s="43"/>
      <c r="HC131" s="43"/>
      <c r="HD131" s="39">
        <f t="shared" si="76"/>
        <v>0</v>
      </c>
      <c r="HE131" s="39">
        <f t="shared" si="102"/>
        <v>0</v>
      </c>
      <c r="HF131" s="39"/>
      <c r="HG131" s="39"/>
      <c r="HH131" s="39"/>
      <c r="HI131" s="43"/>
      <c r="HJ131" s="43"/>
      <c r="HK131" s="43"/>
      <c r="HL131" s="43"/>
      <c r="HM131" s="43"/>
      <c r="HN131" s="136"/>
      <c r="HO131" s="136"/>
      <c r="HP131" s="39">
        <f t="shared" si="78"/>
        <v>0</v>
      </c>
      <c r="HQ131" s="39">
        <f t="shared" si="103"/>
        <v>0</v>
      </c>
      <c r="HR131" s="39"/>
      <c r="HS131" s="39"/>
      <c r="HT131" s="39"/>
      <c r="HU131" s="43"/>
      <c r="HV131" s="39"/>
      <c r="HW131" s="39"/>
      <c r="HX131" s="39">
        <f t="shared" si="80"/>
        <v>0</v>
      </c>
      <c r="HY131" s="39">
        <f t="shared" si="104"/>
        <v>0</v>
      </c>
    </row>
    <row r="132" spans="1:233" ht="12.75" customHeight="1">
      <c r="A132" s="15" t="s">
        <v>279</v>
      </c>
      <c r="B132" s="34"/>
      <c r="C132" s="34"/>
      <c r="D132" s="39">
        <f>143+143+143+119+119+120+119+119+120+95+95+95</f>
        <v>1430</v>
      </c>
      <c r="E132" s="39">
        <f>143+143+143+119+119+120+119+119+120+95+95+95</f>
        <v>1430</v>
      </c>
      <c r="F132" s="34"/>
      <c r="G132" s="34"/>
      <c r="H132" s="34"/>
      <c r="I132" s="34"/>
      <c r="J132" s="34"/>
      <c r="K132" s="34"/>
      <c r="L132" s="34"/>
      <c r="M132" s="34"/>
      <c r="N132" s="34"/>
      <c r="O132" s="34"/>
      <c r="P132" s="34"/>
      <c r="Q132" s="34"/>
      <c r="R132" s="39">
        <v>10</v>
      </c>
      <c r="S132" s="39">
        <f>8.17101</f>
        <v>8.17101</v>
      </c>
      <c r="T132" s="39">
        <v>2.5255300000000003</v>
      </c>
      <c r="U132" s="39">
        <v>2.52553</v>
      </c>
      <c r="V132" s="39"/>
      <c r="W132" s="34"/>
      <c r="X132" s="34"/>
      <c r="Y132" s="34"/>
      <c r="Z132" s="34"/>
      <c r="AA132" s="34"/>
      <c r="AB132" s="34"/>
      <c r="AC132" s="34"/>
      <c r="AD132" s="34"/>
      <c r="AE132" s="34"/>
      <c r="AF132" s="39">
        <v>73</v>
      </c>
      <c r="AG132" s="48">
        <f>6.1+6.1+6.1+6.1+6.1+6+6+6+6+6+6+6.5</f>
        <v>73</v>
      </c>
      <c r="AH132" s="126">
        <f t="shared" si="65"/>
        <v>1515.52553</v>
      </c>
      <c r="AI132" s="126">
        <f t="shared" si="98"/>
        <v>1513.69654</v>
      </c>
      <c r="AJ132" s="43"/>
      <c r="AK132" s="43"/>
      <c r="AL132" s="134"/>
      <c r="AM132" s="41"/>
      <c r="AN132" s="41"/>
      <c r="AO132" s="41"/>
      <c r="AP132" s="41"/>
      <c r="AQ132" s="41"/>
      <c r="AR132" s="39"/>
      <c r="AS132" s="39"/>
      <c r="AT132" s="43"/>
      <c r="AU132" s="43"/>
      <c r="AV132" s="43"/>
      <c r="AW132" s="43"/>
      <c r="AX132" s="43"/>
      <c r="AY132" s="43"/>
      <c r="AZ132" s="39">
        <f t="shared" si="67"/>
        <v>0</v>
      </c>
      <c r="BA132" s="39">
        <f t="shared" si="61"/>
        <v>0</v>
      </c>
      <c r="BB132" s="39">
        <v>0</v>
      </c>
      <c r="BC132" s="39">
        <v>0</v>
      </c>
      <c r="BD132" s="39">
        <v>156.4</v>
      </c>
      <c r="BE132" s="43">
        <v>156.4</v>
      </c>
      <c r="BF132" s="43"/>
      <c r="BG132" s="43"/>
      <c r="BH132" s="43"/>
      <c r="BI132" s="43"/>
      <c r="BJ132" s="43"/>
      <c r="BK132" s="43"/>
      <c r="BL132" s="43"/>
      <c r="BM132" s="43"/>
      <c r="BN132" s="45"/>
      <c r="BO132" s="45"/>
      <c r="BP132" s="43">
        <v>692.61</v>
      </c>
      <c r="BQ132" s="43">
        <v>226.743</v>
      </c>
      <c r="BR132" s="43"/>
      <c r="BS132" s="43"/>
      <c r="BT132" s="43"/>
      <c r="BU132" s="43"/>
      <c r="BV132" s="45"/>
      <c r="BW132" s="45"/>
      <c r="BX132" s="43"/>
      <c r="BY132" s="45"/>
      <c r="BZ132" s="43"/>
      <c r="CA132" s="45"/>
      <c r="CB132" s="45"/>
      <c r="CC132" s="45"/>
      <c r="CD132" s="45"/>
      <c r="CE132" s="45"/>
      <c r="CF132" s="39">
        <f t="shared" si="68"/>
        <v>849.01</v>
      </c>
      <c r="CG132" s="39">
        <f t="shared" si="99"/>
        <v>383.14300000000003</v>
      </c>
      <c r="CH132" s="39"/>
      <c r="CI132" s="39"/>
      <c r="CJ132" s="39"/>
      <c r="CK132" s="45"/>
      <c r="CL132" s="45"/>
      <c r="CM132" s="43"/>
      <c r="CN132" s="43"/>
      <c r="CO132" s="43"/>
      <c r="CP132" s="43"/>
      <c r="CQ132" s="39"/>
      <c r="CR132" s="43"/>
      <c r="CS132" s="45"/>
      <c r="CT132" s="45"/>
      <c r="CU132" s="45"/>
      <c r="CV132" s="45"/>
      <c r="CW132" s="43"/>
      <c r="CX132" s="43"/>
      <c r="CY132" s="43"/>
      <c r="CZ132" s="39"/>
      <c r="DA132" s="45"/>
      <c r="DB132" s="43"/>
      <c r="DC132" s="43"/>
      <c r="DD132" s="43"/>
      <c r="DE132" s="43"/>
      <c r="DF132" s="39">
        <f t="shared" si="70"/>
        <v>0</v>
      </c>
      <c r="DG132" s="39">
        <f t="shared" si="100"/>
        <v>0</v>
      </c>
      <c r="DH132" s="39"/>
      <c r="DI132" s="39"/>
      <c r="DJ132" s="39">
        <v>0</v>
      </c>
      <c r="DK132" s="39">
        <f t="shared" si="62"/>
        <v>0</v>
      </c>
      <c r="DL132" s="39"/>
      <c r="DM132" s="39"/>
      <c r="DN132" s="43"/>
      <c r="DO132" s="43"/>
      <c r="DP132" s="39">
        <f t="shared" si="72"/>
        <v>0</v>
      </c>
      <c r="DQ132" s="39">
        <f t="shared" si="63"/>
        <v>0</v>
      </c>
      <c r="DR132" s="39"/>
      <c r="DS132" s="39"/>
      <c r="DT132" s="43"/>
      <c r="DU132" s="43"/>
      <c r="DV132" s="43"/>
      <c r="DW132" s="43"/>
      <c r="DX132" s="43"/>
      <c r="DY132" s="43"/>
      <c r="DZ132" s="39"/>
      <c r="EA132" s="39"/>
      <c r="EB132" s="43"/>
      <c r="EC132" s="43"/>
      <c r="ED132" s="43"/>
      <c r="EE132" s="43"/>
      <c r="EF132" s="39"/>
      <c r="EG132" s="43"/>
      <c r="EH132" s="43">
        <v>369</v>
      </c>
      <c r="EI132" s="39">
        <v>369</v>
      </c>
      <c r="EJ132" s="39">
        <v>83</v>
      </c>
      <c r="EK132" s="43">
        <v>61.3</v>
      </c>
      <c r="EL132" s="43"/>
      <c r="EM132" s="43"/>
      <c r="EN132" s="45"/>
      <c r="EO132" s="45"/>
      <c r="EP132" s="43"/>
      <c r="EQ132" s="43"/>
      <c r="ER132" s="43"/>
      <c r="ES132" s="43"/>
      <c r="ET132" s="135"/>
      <c r="EU132" s="135"/>
      <c r="EV132" s="135"/>
      <c r="EW132" s="135"/>
      <c r="EX132" s="43"/>
      <c r="EY132" s="43"/>
      <c r="EZ132" s="43"/>
      <c r="FA132" s="43"/>
      <c r="FB132" s="37">
        <f t="shared" si="73"/>
        <v>452</v>
      </c>
      <c r="FC132" s="37">
        <f t="shared" si="101"/>
        <v>430.3</v>
      </c>
      <c r="FD132" s="39"/>
      <c r="FE132" s="39"/>
      <c r="FF132" s="43"/>
      <c r="FG132" s="43"/>
      <c r="FH132" s="132">
        <f t="shared" si="75"/>
        <v>0</v>
      </c>
      <c r="FI132" s="132">
        <f t="shared" si="64"/>
        <v>0</v>
      </c>
      <c r="FJ132" s="39"/>
      <c r="FK132" s="39"/>
      <c r="FL132" s="43"/>
      <c r="FM132" s="43"/>
      <c r="FN132" s="43"/>
      <c r="FO132" s="43"/>
      <c r="FP132" s="43"/>
      <c r="FQ132" s="43"/>
      <c r="FR132" s="39"/>
      <c r="FS132" s="135"/>
      <c r="FT132" s="43"/>
      <c r="FU132" s="43"/>
      <c r="FV132" s="43"/>
      <c r="FW132" s="43"/>
      <c r="FX132" s="43"/>
      <c r="FY132" s="43"/>
      <c r="FZ132" s="43"/>
      <c r="GA132" s="43"/>
      <c r="GB132" s="43"/>
      <c r="GC132" s="43"/>
      <c r="GD132" s="135"/>
      <c r="GE132" s="135"/>
      <c r="GF132" s="43"/>
      <c r="GG132" s="43"/>
      <c r="GH132" s="43"/>
      <c r="GI132" s="43"/>
      <c r="GJ132" s="43"/>
      <c r="GK132" s="43"/>
      <c r="GL132" s="43"/>
      <c r="GM132" s="43"/>
      <c r="GN132" s="43"/>
      <c r="GO132" s="43"/>
      <c r="GP132" s="43"/>
      <c r="GQ132" s="43"/>
      <c r="GR132" s="43"/>
      <c r="GS132" s="43"/>
      <c r="GT132" s="43"/>
      <c r="GU132" s="43"/>
      <c r="GV132" s="43"/>
      <c r="GW132" s="43"/>
      <c r="GX132" s="45"/>
      <c r="GY132" s="45"/>
      <c r="GZ132" s="43"/>
      <c r="HA132" s="43"/>
      <c r="HB132" s="43"/>
      <c r="HC132" s="43"/>
      <c r="HD132" s="39">
        <f t="shared" si="76"/>
        <v>0</v>
      </c>
      <c r="HE132" s="39">
        <f t="shared" si="102"/>
        <v>0</v>
      </c>
      <c r="HF132" s="39"/>
      <c r="HG132" s="39"/>
      <c r="HH132" s="39"/>
      <c r="HI132" s="43"/>
      <c r="HJ132" s="43"/>
      <c r="HK132" s="43"/>
      <c r="HL132" s="43"/>
      <c r="HM132" s="43"/>
      <c r="HN132" s="136"/>
      <c r="HO132" s="136"/>
      <c r="HP132" s="39">
        <f t="shared" si="78"/>
        <v>0</v>
      </c>
      <c r="HQ132" s="39">
        <f t="shared" si="103"/>
        <v>0</v>
      </c>
      <c r="HR132" s="39"/>
      <c r="HS132" s="39"/>
      <c r="HT132" s="39"/>
      <c r="HU132" s="43"/>
      <c r="HV132" s="39"/>
      <c r="HW132" s="39"/>
      <c r="HX132" s="39">
        <f t="shared" si="80"/>
        <v>0</v>
      </c>
      <c r="HY132" s="39">
        <f t="shared" si="104"/>
        <v>0</v>
      </c>
    </row>
    <row r="133" spans="1:233" ht="12.75">
      <c r="A133" s="15" t="s">
        <v>280</v>
      </c>
      <c r="B133" s="34"/>
      <c r="C133" s="34"/>
      <c r="D133" s="39">
        <f>177+177+176+147+147+147+147+147+147+117.7+117.7+117.6</f>
        <v>1765</v>
      </c>
      <c r="E133" s="39">
        <f>177+177+176+147+147+147+147+147+147+117.7+117.7+117.6</f>
        <v>1765</v>
      </c>
      <c r="F133" s="34"/>
      <c r="G133" s="34"/>
      <c r="H133" s="34"/>
      <c r="I133" s="34"/>
      <c r="J133" s="34"/>
      <c r="K133" s="34"/>
      <c r="L133" s="34"/>
      <c r="M133" s="34"/>
      <c r="N133" s="34"/>
      <c r="O133" s="34"/>
      <c r="P133" s="34"/>
      <c r="Q133" s="34"/>
      <c r="R133" s="39">
        <v>10</v>
      </c>
      <c r="S133" s="39">
        <f>9.1064</f>
        <v>9.1064</v>
      </c>
      <c r="T133" s="39">
        <v>4.2663400000000005</v>
      </c>
      <c r="U133" s="39">
        <v>4.26634</v>
      </c>
      <c r="V133" s="39">
        <v>310</v>
      </c>
      <c r="W133" s="39">
        <f>130+80+100</f>
        <v>310</v>
      </c>
      <c r="X133" s="34"/>
      <c r="Y133" s="34"/>
      <c r="Z133" s="34"/>
      <c r="AA133" s="34"/>
      <c r="AB133" s="34"/>
      <c r="AC133" s="34"/>
      <c r="AD133" s="34"/>
      <c r="AE133" s="34"/>
      <c r="AF133" s="39">
        <v>147</v>
      </c>
      <c r="AG133" s="53">
        <f>12.3+12.3+12.3+12.3+12.3+7.7+19.4+13.5+14+30.9</f>
        <v>147</v>
      </c>
      <c r="AH133" s="126">
        <f t="shared" si="65"/>
        <v>2236.26634</v>
      </c>
      <c r="AI133" s="126">
        <f t="shared" si="98"/>
        <v>2235.37274</v>
      </c>
      <c r="AJ133" s="43"/>
      <c r="AK133" s="43"/>
      <c r="AL133" s="134"/>
      <c r="AM133" s="41"/>
      <c r="AN133" s="41"/>
      <c r="AO133" s="41"/>
      <c r="AP133" s="41"/>
      <c r="AQ133" s="41"/>
      <c r="AR133" s="39"/>
      <c r="AS133" s="39"/>
      <c r="AT133" s="43"/>
      <c r="AU133" s="43"/>
      <c r="AV133" s="43"/>
      <c r="AW133" s="43"/>
      <c r="AX133" s="43"/>
      <c r="AY133" s="43"/>
      <c r="AZ133" s="39">
        <f t="shared" si="67"/>
        <v>0</v>
      </c>
      <c r="BA133" s="39">
        <f t="shared" si="61"/>
        <v>0</v>
      </c>
      <c r="BB133" s="39">
        <v>0</v>
      </c>
      <c r="BC133" s="39">
        <v>0</v>
      </c>
      <c r="BD133" s="39">
        <v>406</v>
      </c>
      <c r="BE133" s="43">
        <v>402</v>
      </c>
      <c r="BF133" s="43"/>
      <c r="BG133" s="43"/>
      <c r="BH133" s="43"/>
      <c r="BI133" s="43"/>
      <c r="BJ133" s="43"/>
      <c r="BK133" s="43"/>
      <c r="BL133" s="43"/>
      <c r="BM133" s="43"/>
      <c r="BN133" s="45"/>
      <c r="BO133" s="45"/>
      <c r="BP133" s="45"/>
      <c r="BQ133" s="45"/>
      <c r="BR133" s="43"/>
      <c r="BS133" s="43"/>
      <c r="BT133" s="43"/>
      <c r="BU133" s="43"/>
      <c r="BV133" s="45"/>
      <c r="BW133" s="45"/>
      <c r="BX133" s="43"/>
      <c r="BY133" s="45"/>
      <c r="BZ133" s="43"/>
      <c r="CA133" s="45"/>
      <c r="CB133" s="45"/>
      <c r="CC133" s="45"/>
      <c r="CD133" s="45"/>
      <c r="CE133" s="45"/>
      <c r="CF133" s="39">
        <f t="shared" si="68"/>
        <v>406</v>
      </c>
      <c r="CG133" s="39">
        <f t="shared" si="99"/>
        <v>402</v>
      </c>
      <c r="CH133" s="39"/>
      <c r="CI133" s="39"/>
      <c r="CJ133" s="39"/>
      <c r="CK133" s="45"/>
      <c r="CL133" s="45"/>
      <c r="CM133" s="43"/>
      <c r="CN133" s="43"/>
      <c r="CO133" s="43"/>
      <c r="CP133" s="43"/>
      <c r="CQ133" s="39"/>
      <c r="CR133" s="43"/>
      <c r="CS133" s="45"/>
      <c r="CT133" s="45"/>
      <c r="CU133" s="45"/>
      <c r="CV133" s="45"/>
      <c r="CW133" s="43"/>
      <c r="CX133" s="43"/>
      <c r="CY133" s="43"/>
      <c r="CZ133" s="39"/>
      <c r="DA133" s="45"/>
      <c r="DB133" s="43"/>
      <c r="DC133" s="43"/>
      <c r="DD133" s="43"/>
      <c r="DE133" s="43"/>
      <c r="DF133" s="39">
        <f t="shared" si="70"/>
        <v>0</v>
      </c>
      <c r="DG133" s="39">
        <f t="shared" si="100"/>
        <v>0</v>
      </c>
      <c r="DH133" s="39"/>
      <c r="DI133" s="39"/>
      <c r="DJ133" s="39">
        <v>0</v>
      </c>
      <c r="DK133" s="39">
        <f t="shared" si="62"/>
        <v>0</v>
      </c>
      <c r="DL133" s="39"/>
      <c r="DM133" s="39"/>
      <c r="DN133" s="45"/>
      <c r="DO133" s="45"/>
      <c r="DP133" s="39">
        <f t="shared" si="72"/>
        <v>0</v>
      </c>
      <c r="DQ133" s="39">
        <f t="shared" si="63"/>
        <v>0</v>
      </c>
      <c r="DR133" s="39"/>
      <c r="DS133" s="39"/>
      <c r="DT133" s="43"/>
      <c r="DU133" s="43"/>
      <c r="DV133" s="43"/>
      <c r="DW133" s="43"/>
      <c r="DX133" s="43"/>
      <c r="DY133" s="43"/>
      <c r="DZ133" s="39"/>
      <c r="EA133" s="39"/>
      <c r="EB133" s="43"/>
      <c r="EC133" s="43"/>
      <c r="ED133" s="43"/>
      <c r="EE133" s="43"/>
      <c r="EF133" s="39"/>
      <c r="EG133" s="43"/>
      <c r="EH133" s="43">
        <v>53</v>
      </c>
      <c r="EI133" s="39">
        <v>53</v>
      </c>
      <c r="EJ133" s="39">
        <v>63</v>
      </c>
      <c r="EK133" s="43">
        <v>59.7</v>
      </c>
      <c r="EL133" s="43"/>
      <c r="EM133" s="43"/>
      <c r="EN133" s="45"/>
      <c r="EO133" s="45"/>
      <c r="EP133" s="43"/>
      <c r="EQ133" s="43"/>
      <c r="ER133" s="43"/>
      <c r="ES133" s="43"/>
      <c r="ET133" s="135"/>
      <c r="EU133" s="135"/>
      <c r="EV133" s="135"/>
      <c r="EW133" s="135"/>
      <c r="EX133" s="43"/>
      <c r="EY133" s="43"/>
      <c r="EZ133" s="43"/>
      <c r="FA133" s="43"/>
      <c r="FB133" s="37">
        <f t="shared" si="73"/>
        <v>116</v>
      </c>
      <c r="FC133" s="37">
        <f t="shared" si="101"/>
        <v>112.7</v>
      </c>
      <c r="FD133" s="39"/>
      <c r="FE133" s="39"/>
      <c r="FF133" s="43"/>
      <c r="FG133" s="43"/>
      <c r="FH133" s="132">
        <f t="shared" si="75"/>
        <v>0</v>
      </c>
      <c r="FI133" s="132">
        <f t="shared" si="64"/>
        <v>0</v>
      </c>
      <c r="FJ133" s="39"/>
      <c r="FK133" s="39"/>
      <c r="FL133" s="43"/>
      <c r="FM133" s="43"/>
      <c r="FN133" s="43"/>
      <c r="FO133" s="43"/>
      <c r="FP133" s="43"/>
      <c r="FQ133" s="43"/>
      <c r="FR133" s="39"/>
      <c r="FS133" s="135"/>
      <c r="FT133" s="43"/>
      <c r="FU133" s="43"/>
      <c r="FV133" s="43"/>
      <c r="FW133" s="43"/>
      <c r="FX133" s="43"/>
      <c r="FY133" s="43"/>
      <c r="FZ133" s="43"/>
      <c r="GA133" s="43"/>
      <c r="GB133" s="43"/>
      <c r="GC133" s="43"/>
      <c r="GD133" s="135"/>
      <c r="GE133" s="135"/>
      <c r="GF133" s="43"/>
      <c r="GG133" s="43"/>
      <c r="GH133" s="43"/>
      <c r="GI133" s="43"/>
      <c r="GJ133" s="43"/>
      <c r="GK133" s="43"/>
      <c r="GL133" s="43"/>
      <c r="GM133" s="43"/>
      <c r="GN133" s="43"/>
      <c r="GO133" s="43"/>
      <c r="GP133" s="43"/>
      <c r="GQ133" s="43"/>
      <c r="GR133" s="43"/>
      <c r="GS133" s="43"/>
      <c r="GT133" s="43"/>
      <c r="GU133" s="43"/>
      <c r="GV133" s="43"/>
      <c r="GW133" s="43"/>
      <c r="GX133" s="45"/>
      <c r="GY133" s="45"/>
      <c r="GZ133" s="43"/>
      <c r="HA133" s="43"/>
      <c r="HB133" s="43"/>
      <c r="HC133" s="43"/>
      <c r="HD133" s="39">
        <f t="shared" si="76"/>
        <v>0</v>
      </c>
      <c r="HE133" s="39">
        <f t="shared" si="102"/>
        <v>0</v>
      </c>
      <c r="HF133" s="39"/>
      <c r="HG133" s="39"/>
      <c r="HH133" s="39"/>
      <c r="HI133" s="43"/>
      <c r="HJ133" s="43"/>
      <c r="HK133" s="43"/>
      <c r="HL133" s="43"/>
      <c r="HM133" s="43"/>
      <c r="HN133" s="136"/>
      <c r="HO133" s="136"/>
      <c r="HP133" s="39">
        <f t="shared" si="78"/>
        <v>0</v>
      </c>
      <c r="HQ133" s="39">
        <f t="shared" si="103"/>
        <v>0</v>
      </c>
      <c r="HR133" s="39"/>
      <c r="HS133" s="39"/>
      <c r="HT133" s="39"/>
      <c r="HU133" s="43"/>
      <c r="HV133" s="39"/>
      <c r="HW133" s="39"/>
      <c r="HX133" s="39">
        <f t="shared" si="80"/>
        <v>0</v>
      </c>
      <c r="HY133" s="39">
        <f t="shared" si="104"/>
        <v>0</v>
      </c>
    </row>
    <row r="134" spans="1:233" ht="12.75" customHeight="1">
      <c r="A134" s="15" t="s">
        <v>281</v>
      </c>
      <c r="B134" s="34"/>
      <c r="C134" s="34"/>
      <c r="D134" s="39">
        <f>60+60+59+50+50+50+50+50+50+39.7+39.7+39.6</f>
        <v>598.0000000000001</v>
      </c>
      <c r="E134" s="39">
        <f>60+60+59+50+50+50+50+50+50+39.7+39.7+39.6</f>
        <v>598.0000000000001</v>
      </c>
      <c r="F134" s="34"/>
      <c r="G134" s="34"/>
      <c r="H134" s="34"/>
      <c r="I134" s="34"/>
      <c r="J134" s="34"/>
      <c r="K134" s="34"/>
      <c r="L134" s="34"/>
      <c r="M134" s="34"/>
      <c r="N134" s="34"/>
      <c r="O134" s="34"/>
      <c r="P134" s="34"/>
      <c r="Q134" s="34"/>
      <c r="R134" s="39">
        <v>595</v>
      </c>
      <c r="S134" s="39">
        <f>593.72075</f>
        <v>593.72075</v>
      </c>
      <c r="T134" s="39">
        <v>154.82281</v>
      </c>
      <c r="U134" s="39">
        <v>154.82281</v>
      </c>
      <c r="V134" s="39"/>
      <c r="W134" s="34"/>
      <c r="X134" s="34"/>
      <c r="Y134" s="34"/>
      <c r="Z134" s="34"/>
      <c r="AA134" s="34"/>
      <c r="AB134" s="34"/>
      <c r="AC134" s="34"/>
      <c r="AD134" s="34"/>
      <c r="AE134" s="34"/>
      <c r="AF134" s="39">
        <v>73</v>
      </c>
      <c r="AG134" s="48">
        <f>6.1+6.1+6.1+6.1+6.1+4+6+5+5+22.5</f>
        <v>73</v>
      </c>
      <c r="AH134" s="126">
        <f t="shared" si="65"/>
        <v>1420.8228100000001</v>
      </c>
      <c r="AI134" s="126">
        <f t="shared" si="98"/>
        <v>1419.54356</v>
      </c>
      <c r="AJ134" s="43"/>
      <c r="AK134" s="43"/>
      <c r="AL134" s="134"/>
      <c r="AM134" s="41"/>
      <c r="AN134" s="41"/>
      <c r="AO134" s="41"/>
      <c r="AP134" s="41"/>
      <c r="AQ134" s="41"/>
      <c r="AR134" s="39"/>
      <c r="AS134" s="39"/>
      <c r="AT134" s="43">
        <v>10</v>
      </c>
      <c r="AU134" s="43">
        <v>10</v>
      </c>
      <c r="AV134" s="43"/>
      <c r="AW134" s="43"/>
      <c r="AX134" s="43"/>
      <c r="AY134" s="43"/>
      <c r="AZ134" s="39">
        <f>AJ134+AL134+AN134+AP134+AR134+AT134+AV134+AX134</f>
        <v>10</v>
      </c>
      <c r="BA134" s="39">
        <f t="shared" si="61"/>
        <v>10</v>
      </c>
      <c r="BB134" s="39">
        <v>0</v>
      </c>
      <c r="BC134" s="39">
        <v>0</v>
      </c>
      <c r="BD134" s="39"/>
      <c r="BE134" s="43"/>
      <c r="BF134" s="43"/>
      <c r="BG134" s="43"/>
      <c r="BH134" s="43"/>
      <c r="BI134" s="43"/>
      <c r="BJ134" s="43"/>
      <c r="BK134" s="43"/>
      <c r="BL134" s="43"/>
      <c r="BM134" s="43"/>
      <c r="BN134" s="45"/>
      <c r="BO134" s="45"/>
      <c r="BP134" s="45"/>
      <c r="BQ134" s="45"/>
      <c r="BR134" s="43"/>
      <c r="BS134" s="43"/>
      <c r="BT134" s="43"/>
      <c r="BU134" s="43"/>
      <c r="BV134" s="45"/>
      <c r="BW134" s="45"/>
      <c r="BX134" s="43"/>
      <c r="BY134" s="45"/>
      <c r="BZ134" s="43"/>
      <c r="CA134" s="45"/>
      <c r="CB134" s="45"/>
      <c r="CC134" s="45"/>
      <c r="CD134" s="45"/>
      <c r="CE134" s="45"/>
      <c r="CF134" s="39">
        <f t="shared" si="68"/>
        <v>0</v>
      </c>
      <c r="CG134" s="39">
        <f t="shared" si="99"/>
        <v>0</v>
      </c>
      <c r="CH134" s="39"/>
      <c r="CI134" s="39"/>
      <c r="CJ134" s="39"/>
      <c r="CK134" s="45"/>
      <c r="CL134" s="45"/>
      <c r="CM134" s="43"/>
      <c r="CN134" s="43"/>
      <c r="CO134" s="43"/>
      <c r="CP134" s="43"/>
      <c r="CQ134" s="39"/>
      <c r="CR134" s="43"/>
      <c r="CS134" s="45"/>
      <c r="CT134" s="45"/>
      <c r="CU134" s="45"/>
      <c r="CV134" s="45"/>
      <c r="CW134" s="43"/>
      <c r="CX134" s="43"/>
      <c r="CY134" s="43"/>
      <c r="CZ134" s="39"/>
      <c r="DA134" s="45"/>
      <c r="DB134" s="43"/>
      <c r="DC134" s="43"/>
      <c r="DD134" s="43"/>
      <c r="DE134" s="43"/>
      <c r="DF134" s="39">
        <f t="shared" si="70"/>
        <v>0</v>
      </c>
      <c r="DG134" s="39">
        <f t="shared" si="100"/>
        <v>0</v>
      </c>
      <c r="DH134" s="39"/>
      <c r="DI134" s="39"/>
      <c r="DJ134" s="39">
        <v>0</v>
      </c>
      <c r="DK134" s="39">
        <f t="shared" si="62"/>
        <v>0</v>
      </c>
      <c r="DL134" s="39"/>
      <c r="DM134" s="39"/>
      <c r="DN134" s="45"/>
      <c r="DO134" s="45"/>
      <c r="DP134" s="39">
        <f t="shared" si="72"/>
        <v>0</v>
      </c>
      <c r="DQ134" s="39">
        <f t="shared" si="63"/>
        <v>0</v>
      </c>
      <c r="DR134" s="39"/>
      <c r="DS134" s="39"/>
      <c r="DT134" s="43"/>
      <c r="DU134" s="43"/>
      <c r="DV134" s="43"/>
      <c r="DW134" s="43"/>
      <c r="DX134" s="43"/>
      <c r="DY134" s="43"/>
      <c r="DZ134" s="39"/>
      <c r="EA134" s="39"/>
      <c r="EB134" s="43"/>
      <c r="EC134" s="43"/>
      <c r="ED134" s="43"/>
      <c r="EE134" s="43"/>
      <c r="EF134" s="39"/>
      <c r="EG134" s="43"/>
      <c r="EH134" s="43">
        <v>542</v>
      </c>
      <c r="EI134" s="39">
        <v>542</v>
      </c>
      <c r="EJ134" s="39">
        <v>80</v>
      </c>
      <c r="EK134" s="43">
        <v>58.5</v>
      </c>
      <c r="EL134" s="43"/>
      <c r="EM134" s="43"/>
      <c r="EN134" s="45"/>
      <c r="EO134" s="45"/>
      <c r="EP134" s="43"/>
      <c r="EQ134" s="43"/>
      <c r="ER134" s="43"/>
      <c r="ES134" s="43"/>
      <c r="ET134" s="135"/>
      <c r="EU134" s="135"/>
      <c r="EV134" s="135"/>
      <c r="EW134" s="135"/>
      <c r="EX134" s="43"/>
      <c r="EY134" s="43"/>
      <c r="EZ134" s="43"/>
      <c r="FA134" s="43"/>
      <c r="FB134" s="37">
        <f t="shared" si="73"/>
        <v>622</v>
      </c>
      <c r="FC134" s="37">
        <f t="shared" si="101"/>
        <v>600.5</v>
      </c>
      <c r="FD134" s="39"/>
      <c r="FE134" s="39"/>
      <c r="FF134" s="43"/>
      <c r="FG134" s="43"/>
      <c r="FH134" s="132">
        <f t="shared" si="75"/>
        <v>0</v>
      </c>
      <c r="FI134" s="132">
        <f t="shared" si="64"/>
        <v>0</v>
      </c>
      <c r="FJ134" s="39"/>
      <c r="FK134" s="39"/>
      <c r="FL134" s="43"/>
      <c r="FM134" s="43"/>
      <c r="FN134" s="43"/>
      <c r="FO134" s="43"/>
      <c r="FP134" s="43"/>
      <c r="FQ134" s="43"/>
      <c r="FR134" s="39"/>
      <c r="FS134" s="135"/>
      <c r="FT134" s="43"/>
      <c r="FU134" s="43"/>
      <c r="FV134" s="43"/>
      <c r="FW134" s="43"/>
      <c r="FX134" s="43"/>
      <c r="FY134" s="43"/>
      <c r="FZ134" s="43"/>
      <c r="GA134" s="43"/>
      <c r="GB134" s="43"/>
      <c r="GC134" s="43"/>
      <c r="GD134" s="135"/>
      <c r="GE134" s="135"/>
      <c r="GF134" s="43"/>
      <c r="GG134" s="43"/>
      <c r="GH134" s="43"/>
      <c r="GI134" s="43"/>
      <c r="GJ134" s="43"/>
      <c r="GK134" s="43"/>
      <c r="GL134" s="43"/>
      <c r="GM134" s="43"/>
      <c r="GN134" s="43"/>
      <c r="GO134" s="43"/>
      <c r="GP134" s="43"/>
      <c r="GQ134" s="43"/>
      <c r="GR134" s="43"/>
      <c r="GS134" s="43"/>
      <c r="GT134" s="43"/>
      <c r="GU134" s="43"/>
      <c r="GV134" s="43"/>
      <c r="GW134" s="43"/>
      <c r="GX134" s="45"/>
      <c r="GY134" s="45"/>
      <c r="GZ134" s="43"/>
      <c r="HA134" s="43"/>
      <c r="HB134" s="43"/>
      <c r="HC134" s="43"/>
      <c r="HD134" s="39">
        <f t="shared" si="76"/>
        <v>0</v>
      </c>
      <c r="HE134" s="39">
        <f t="shared" si="102"/>
        <v>0</v>
      </c>
      <c r="HF134" s="39"/>
      <c r="HG134" s="39"/>
      <c r="HH134" s="39"/>
      <c r="HI134" s="43"/>
      <c r="HJ134" s="43"/>
      <c r="HK134" s="43"/>
      <c r="HL134" s="43"/>
      <c r="HM134" s="43"/>
      <c r="HN134" s="136"/>
      <c r="HO134" s="136"/>
      <c r="HP134" s="39">
        <f t="shared" si="78"/>
        <v>0</v>
      </c>
      <c r="HQ134" s="39">
        <f t="shared" si="103"/>
        <v>0</v>
      </c>
      <c r="HR134" s="39"/>
      <c r="HS134" s="39"/>
      <c r="HT134" s="39"/>
      <c r="HU134" s="43"/>
      <c r="HV134" s="39"/>
      <c r="HW134" s="39"/>
      <c r="HX134" s="39">
        <f t="shared" si="80"/>
        <v>0</v>
      </c>
      <c r="HY134" s="39">
        <f t="shared" si="104"/>
        <v>0</v>
      </c>
    </row>
    <row r="135" spans="1:233" ht="12.75">
      <c r="A135" s="13" t="s">
        <v>122</v>
      </c>
      <c r="B135" s="39">
        <f>SUM(B136:B143)</f>
        <v>83768</v>
      </c>
      <c r="C135" s="39">
        <f aca="true" t="shared" si="113" ref="C135:BN135">SUM(C136:C143)</f>
        <v>83768</v>
      </c>
      <c r="D135" s="39">
        <f t="shared" si="113"/>
        <v>23314</v>
      </c>
      <c r="E135" s="39">
        <f t="shared" si="113"/>
        <v>23314</v>
      </c>
      <c r="F135" s="39">
        <f t="shared" si="113"/>
        <v>55466.00000000001</v>
      </c>
      <c r="G135" s="39">
        <f t="shared" si="113"/>
        <v>55466.00000000001</v>
      </c>
      <c r="H135" s="39">
        <f t="shared" si="113"/>
        <v>0</v>
      </c>
      <c r="I135" s="39">
        <f t="shared" si="113"/>
        <v>0</v>
      </c>
      <c r="J135" s="39">
        <f t="shared" si="113"/>
        <v>9500</v>
      </c>
      <c r="K135" s="39">
        <f t="shared" si="113"/>
        <v>9500</v>
      </c>
      <c r="L135" s="39">
        <f t="shared" si="113"/>
        <v>0</v>
      </c>
      <c r="M135" s="39">
        <f t="shared" si="113"/>
        <v>0</v>
      </c>
      <c r="N135" s="39">
        <f t="shared" si="113"/>
        <v>0</v>
      </c>
      <c r="O135" s="39">
        <f t="shared" si="113"/>
        <v>0</v>
      </c>
      <c r="P135" s="39">
        <f t="shared" si="113"/>
        <v>0</v>
      </c>
      <c r="Q135" s="39">
        <f t="shared" si="113"/>
        <v>0</v>
      </c>
      <c r="R135" s="39">
        <f t="shared" si="113"/>
        <v>5870</v>
      </c>
      <c r="S135" s="39">
        <f t="shared" si="113"/>
        <v>5336.52538</v>
      </c>
      <c r="T135" s="39">
        <f t="shared" si="113"/>
        <v>12734.03666</v>
      </c>
      <c r="U135" s="39">
        <f t="shared" si="113"/>
        <v>12734.03666</v>
      </c>
      <c r="V135" s="39">
        <f t="shared" si="113"/>
        <v>187.6</v>
      </c>
      <c r="W135" s="39">
        <f t="shared" si="113"/>
        <v>187.6</v>
      </c>
      <c r="X135" s="39">
        <f t="shared" si="113"/>
        <v>0</v>
      </c>
      <c r="Y135" s="39">
        <f t="shared" si="113"/>
        <v>0</v>
      </c>
      <c r="Z135" s="39">
        <f t="shared" si="113"/>
        <v>0</v>
      </c>
      <c r="AA135" s="39">
        <f t="shared" si="113"/>
        <v>0</v>
      </c>
      <c r="AB135" s="39">
        <f t="shared" si="113"/>
        <v>0</v>
      </c>
      <c r="AC135" s="39">
        <f t="shared" si="113"/>
        <v>0</v>
      </c>
      <c r="AD135" s="39">
        <f t="shared" si="113"/>
        <v>0</v>
      </c>
      <c r="AE135" s="39">
        <f t="shared" si="113"/>
        <v>0</v>
      </c>
      <c r="AF135" s="39">
        <f t="shared" si="113"/>
        <v>882</v>
      </c>
      <c r="AG135" s="39">
        <f t="shared" si="113"/>
        <v>882</v>
      </c>
      <c r="AH135" s="39">
        <f t="shared" si="113"/>
        <v>191721.63666000002</v>
      </c>
      <c r="AI135" s="39">
        <f t="shared" si="113"/>
        <v>191188.16204</v>
      </c>
      <c r="AJ135" s="39">
        <f t="shared" si="113"/>
        <v>381.6</v>
      </c>
      <c r="AK135" s="39">
        <f t="shared" si="113"/>
        <v>381.6</v>
      </c>
      <c r="AL135" s="39">
        <f t="shared" si="113"/>
        <v>0</v>
      </c>
      <c r="AM135" s="39">
        <f t="shared" si="113"/>
        <v>0</v>
      </c>
      <c r="AN135" s="39">
        <f t="shared" si="113"/>
        <v>0</v>
      </c>
      <c r="AO135" s="39">
        <f t="shared" si="113"/>
        <v>0</v>
      </c>
      <c r="AP135" s="39">
        <f t="shared" si="113"/>
        <v>0</v>
      </c>
      <c r="AQ135" s="39">
        <f t="shared" si="113"/>
        <v>0</v>
      </c>
      <c r="AR135" s="39">
        <f t="shared" si="113"/>
        <v>0</v>
      </c>
      <c r="AS135" s="39">
        <f t="shared" si="113"/>
        <v>0</v>
      </c>
      <c r="AT135" s="39">
        <f t="shared" si="113"/>
        <v>40</v>
      </c>
      <c r="AU135" s="39">
        <f t="shared" si="113"/>
        <v>40</v>
      </c>
      <c r="AV135" s="39">
        <f t="shared" si="113"/>
        <v>0</v>
      </c>
      <c r="AW135" s="39">
        <f t="shared" si="113"/>
        <v>0</v>
      </c>
      <c r="AX135" s="39">
        <f t="shared" si="113"/>
        <v>0</v>
      </c>
      <c r="AY135" s="39">
        <f t="shared" si="113"/>
        <v>0</v>
      </c>
      <c r="AZ135" s="39">
        <f t="shared" si="113"/>
        <v>421.6</v>
      </c>
      <c r="BA135" s="39">
        <f t="shared" si="113"/>
        <v>421.6</v>
      </c>
      <c r="BB135" s="39">
        <f t="shared" si="113"/>
        <v>2298</v>
      </c>
      <c r="BC135" s="39">
        <f t="shared" si="113"/>
        <v>2298</v>
      </c>
      <c r="BD135" s="39">
        <f t="shared" si="113"/>
        <v>1751.3999999999999</v>
      </c>
      <c r="BE135" s="39">
        <f t="shared" si="113"/>
        <v>1310.441</v>
      </c>
      <c r="BF135" s="39">
        <f t="shared" si="113"/>
        <v>0</v>
      </c>
      <c r="BG135" s="39">
        <f t="shared" si="113"/>
        <v>0</v>
      </c>
      <c r="BH135" s="39">
        <f t="shared" si="113"/>
        <v>0</v>
      </c>
      <c r="BI135" s="39">
        <f t="shared" si="113"/>
        <v>0</v>
      </c>
      <c r="BJ135" s="39">
        <f t="shared" si="113"/>
        <v>7845</v>
      </c>
      <c r="BK135" s="39">
        <f t="shared" si="113"/>
        <v>7845</v>
      </c>
      <c r="BL135" s="39">
        <f t="shared" si="113"/>
        <v>1968</v>
      </c>
      <c r="BM135" s="39">
        <f t="shared" si="113"/>
        <v>1968</v>
      </c>
      <c r="BN135" s="39">
        <f t="shared" si="113"/>
        <v>1408.8</v>
      </c>
      <c r="BO135" s="39">
        <f aca="true" t="shared" si="114" ref="BO135:DZ135">SUM(BO136:BO143)</f>
        <v>1408.8</v>
      </c>
      <c r="BP135" s="39">
        <f t="shared" si="114"/>
        <v>0</v>
      </c>
      <c r="BQ135" s="39">
        <f t="shared" si="114"/>
        <v>0</v>
      </c>
      <c r="BR135" s="39">
        <f t="shared" si="114"/>
        <v>0</v>
      </c>
      <c r="BS135" s="39">
        <f t="shared" si="114"/>
        <v>0</v>
      </c>
      <c r="BT135" s="39">
        <f t="shared" si="114"/>
        <v>0</v>
      </c>
      <c r="BU135" s="39">
        <f t="shared" si="114"/>
        <v>0</v>
      </c>
      <c r="BV135" s="39">
        <f t="shared" si="114"/>
        <v>150.586</v>
      </c>
      <c r="BW135" s="39">
        <f t="shared" si="114"/>
        <v>150.586</v>
      </c>
      <c r="BX135" s="39">
        <f t="shared" si="114"/>
        <v>1303.38</v>
      </c>
      <c r="BY135" s="39">
        <f t="shared" si="114"/>
        <v>1291.107</v>
      </c>
      <c r="BZ135" s="39">
        <f t="shared" si="114"/>
        <v>0</v>
      </c>
      <c r="CA135" s="39">
        <f t="shared" si="114"/>
        <v>0</v>
      </c>
      <c r="CB135" s="39">
        <f t="shared" si="114"/>
        <v>6770.86</v>
      </c>
      <c r="CC135" s="39">
        <f t="shared" si="114"/>
        <v>6770.86</v>
      </c>
      <c r="CD135" s="39">
        <f t="shared" si="114"/>
        <v>0</v>
      </c>
      <c r="CE135" s="39">
        <f t="shared" si="114"/>
        <v>0</v>
      </c>
      <c r="CF135" s="39">
        <f t="shared" si="114"/>
        <v>21198.025999999998</v>
      </c>
      <c r="CG135" s="39">
        <f t="shared" si="114"/>
        <v>20744.793999999998</v>
      </c>
      <c r="CH135" s="39">
        <f t="shared" si="114"/>
        <v>0</v>
      </c>
      <c r="CI135" s="39">
        <f t="shared" si="114"/>
        <v>0</v>
      </c>
      <c r="CJ135" s="39">
        <f t="shared" si="114"/>
        <v>0</v>
      </c>
      <c r="CK135" s="39">
        <f t="shared" si="114"/>
        <v>0</v>
      </c>
      <c r="CL135" s="39">
        <f t="shared" si="114"/>
        <v>0</v>
      </c>
      <c r="CM135" s="39">
        <f t="shared" si="114"/>
        <v>0</v>
      </c>
      <c r="CN135" s="39">
        <f t="shared" si="114"/>
        <v>0</v>
      </c>
      <c r="CO135" s="39">
        <f t="shared" si="114"/>
        <v>0</v>
      </c>
      <c r="CP135" s="39">
        <f t="shared" si="114"/>
        <v>4633.58</v>
      </c>
      <c r="CQ135" s="39">
        <f t="shared" si="114"/>
        <v>4633.58</v>
      </c>
      <c r="CR135" s="39">
        <f t="shared" si="114"/>
        <v>5326.79</v>
      </c>
      <c r="CS135" s="39">
        <f t="shared" si="114"/>
        <v>5326.79</v>
      </c>
      <c r="CT135" s="39">
        <f t="shared" si="114"/>
        <v>0</v>
      </c>
      <c r="CU135" s="39">
        <f t="shared" si="114"/>
        <v>0</v>
      </c>
      <c r="CV135" s="39">
        <f t="shared" si="114"/>
        <v>0</v>
      </c>
      <c r="CW135" s="39">
        <f t="shared" si="114"/>
        <v>0</v>
      </c>
      <c r="CX135" s="39">
        <f t="shared" si="114"/>
        <v>0</v>
      </c>
      <c r="CY135" s="39">
        <f t="shared" si="114"/>
        <v>0</v>
      </c>
      <c r="CZ135" s="39">
        <f t="shared" si="114"/>
        <v>99.822</v>
      </c>
      <c r="DA135" s="39">
        <f t="shared" si="114"/>
        <v>99.822</v>
      </c>
      <c r="DB135" s="39">
        <f t="shared" si="114"/>
        <v>0</v>
      </c>
      <c r="DC135" s="39">
        <f t="shared" si="114"/>
        <v>0</v>
      </c>
      <c r="DD135" s="39">
        <f t="shared" si="114"/>
        <v>0</v>
      </c>
      <c r="DE135" s="39">
        <f t="shared" si="114"/>
        <v>0</v>
      </c>
      <c r="DF135" s="39">
        <f t="shared" si="114"/>
        <v>10060.192</v>
      </c>
      <c r="DG135" s="39">
        <f t="shared" si="114"/>
        <v>10060.192</v>
      </c>
      <c r="DH135" s="39">
        <f t="shared" si="114"/>
        <v>1352.14</v>
      </c>
      <c r="DI135" s="39">
        <f t="shared" si="114"/>
        <v>1352.14</v>
      </c>
      <c r="DJ135" s="39">
        <f t="shared" si="114"/>
        <v>1352.14</v>
      </c>
      <c r="DK135" s="39">
        <f t="shared" si="114"/>
        <v>1352.14</v>
      </c>
      <c r="DL135" s="39">
        <f t="shared" si="114"/>
        <v>0</v>
      </c>
      <c r="DM135" s="39">
        <f t="shared" si="114"/>
        <v>0</v>
      </c>
      <c r="DN135" s="39">
        <f t="shared" si="114"/>
        <v>0</v>
      </c>
      <c r="DO135" s="39">
        <f t="shared" si="114"/>
        <v>0</v>
      </c>
      <c r="DP135" s="39">
        <f t="shared" si="114"/>
        <v>0</v>
      </c>
      <c r="DQ135" s="39">
        <f t="shared" si="114"/>
        <v>0</v>
      </c>
      <c r="DR135" s="39">
        <f t="shared" si="114"/>
        <v>0</v>
      </c>
      <c r="DS135" s="39">
        <f t="shared" si="114"/>
        <v>0</v>
      </c>
      <c r="DT135" s="39">
        <f t="shared" si="114"/>
        <v>0</v>
      </c>
      <c r="DU135" s="39">
        <f t="shared" si="114"/>
        <v>0</v>
      </c>
      <c r="DV135" s="39">
        <f t="shared" si="114"/>
        <v>0</v>
      </c>
      <c r="DW135" s="39">
        <f t="shared" si="114"/>
        <v>0</v>
      </c>
      <c r="DX135" s="39">
        <f t="shared" si="114"/>
        <v>0</v>
      </c>
      <c r="DY135" s="39">
        <f t="shared" si="114"/>
        <v>0</v>
      </c>
      <c r="DZ135" s="39">
        <f t="shared" si="114"/>
        <v>0</v>
      </c>
      <c r="EA135" s="39">
        <f aca="true" t="shared" si="115" ref="EA135:GL135">SUM(EA136:EA143)</f>
        <v>0</v>
      </c>
      <c r="EB135" s="39">
        <f t="shared" si="115"/>
        <v>0</v>
      </c>
      <c r="EC135" s="39">
        <f t="shared" si="115"/>
        <v>0</v>
      </c>
      <c r="ED135" s="39">
        <f t="shared" si="115"/>
        <v>100</v>
      </c>
      <c r="EE135" s="39">
        <f t="shared" si="115"/>
        <v>100</v>
      </c>
      <c r="EF135" s="39">
        <f t="shared" si="115"/>
        <v>4104.2</v>
      </c>
      <c r="EG135" s="39">
        <f t="shared" si="115"/>
        <v>4104.2</v>
      </c>
      <c r="EH135" s="39">
        <f t="shared" si="115"/>
        <v>8184.900000000001</v>
      </c>
      <c r="EI135" s="39">
        <f t="shared" si="115"/>
        <v>8184.900000000001</v>
      </c>
      <c r="EJ135" s="39">
        <f t="shared" si="115"/>
        <v>751</v>
      </c>
      <c r="EK135" s="39">
        <f t="shared" si="115"/>
        <v>735.516</v>
      </c>
      <c r="EL135" s="39">
        <f t="shared" si="115"/>
        <v>0</v>
      </c>
      <c r="EM135" s="39">
        <f t="shared" si="115"/>
        <v>0</v>
      </c>
      <c r="EN135" s="39">
        <f t="shared" si="115"/>
        <v>0</v>
      </c>
      <c r="EO135" s="39">
        <f t="shared" si="115"/>
        <v>0</v>
      </c>
      <c r="EP135" s="39">
        <f t="shared" si="115"/>
        <v>0</v>
      </c>
      <c r="EQ135" s="39">
        <f t="shared" si="115"/>
        <v>0</v>
      </c>
      <c r="ER135" s="39">
        <f t="shared" si="115"/>
        <v>0</v>
      </c>
      <c r="ES135" s="39">
        <f t="shared" si="115"/>
        <v>0</v>
      </c>
      <c r="ET135" s="39">
        <f t="shared" si="115"/>
        <v>0</v>
      </c>
      <c r="EU135" s="39">
        <f t="shared" si="115"/>
        <v>0</v>
      </c>
      <c r="EV135" s="39">
        <f t="shared" si="115"/>
        <v>6.7</v>
      </c>
      <c r="EW135" s="39">
        <f t="shared" si="115"/>
        <v>6.7</v>
      </c>
      <c r="EX135" s="39">
        <f t="shared" si="115"/>
        <v>0</v>
      </c>
      <c r="EY135" s="39">
        <f t="shared" si="115"/>
        <v>0</v>
      </c>
      <c r="EZ135" s="39">
        <f t="shared" si="115"/>
        <v>100</v>
      </c>
      <c r="FA135" s="39">
        <f t="shared" si="115"/>
        <v>100</v>
      </c>
      <c r="FB135" s="39">
        <f t="shared" si="115"/>
        <v>13246.8</v>
      </c>
      <c r="FC135" s="39">
        <f t="shared" si="115"/>
        <v>13231.316</v>
      </c>
      <c r="FD135" s="39">
        <f t="shared" si="115"/>
        <v>1006.49</v>
      </c>
      <c r="FE135" s="39">
        <f t="shared" si="115"/>
        <v>1006.49</v>
      </c>
      <c r="FF135" s="39">
        <f t="shared" si="115"/>
        <v>59.1</v>
      </c>
      <c r="FG135" s="39">
        <f t="shared" si="115"/>
        <v>59.1</v>
      </c>
      <c r="FH135" s="39">
        <f t="shared" si="115"/>
        <v>1065.59</v>
      </c>
      <c r="FI135" s="39">
        <f t="shared" si="115"/>
        <v>1065.59</v>
      </c>
      <c r="FJ135" s="39">
        <f t="shared" si="115"/>
        <v>0</v>
      </c>
      <c r="FK135" s="39">
        <f t="shared" si="115"/>
        <v>0</v>
      </c>
      <c r="FL135" s="39">
        <f t="shared" si="115"/>
        <v>0</v>
      </c>
      <c r="FM135" s="39">
        <f t="shared" si="115"/>
        <v>0</v>
      </c>
      <c r="FN135" s="39">
        <f t="shared" si="115"/>
        <v>0</v>
      </c>
      <c r="FO135" s="39">
        <f t="shared" si="115"/>
        <v>0</v>
      </c>
      <c r="FP135" s="39">
        <f t="shared" si="115"/>
        <v>0</v>
      </c>
      <c r="FQ135" s="39">
        <f t="shared" si="115"/>
        <v>0</v>
      </c>
      <c r="FR135" s="39">
        <f t="shared" si="115"/>
        <v>14230.8</v>
      </c>
      <c r="FS135" s="39">
        <f t="shared" si="115"/>
        <v>0</v>
      </c>
      <c r="FT135" s="39">
        <f t="shared" si="115"/>
        <v>2070</v>
      </c>
      <c r="FU135" s="39">
        <f t="shared" si="115"/>
        <v>2070</v>
      </c>
      <c r="FV135" s="39">
        <f t="shared" si="115"/>
        <v>405</v>
      </c>
      <c r="FW135" s="39">
        <f t="shared" si="115"/>
        <v>405</v>
      </c>
      <c r="FX135" s="39">
        <f t="shared" si="115"/>
        <v>13184</v>
      </c>
      <c r="FY135" s="39">
        <f t="shared" si="115"/>
        <v>13184</v>
      </c>
      <c r="FZ135" s="39">
        <f t="shared" si="115"/>
        <v>4410</v>
      </c>
      <c r="GA135" s="39">
        <f t="shared" si="115"/>
        <v>4410</v>
      </c>
      <c r="GB135" s="39">
        <f t="shared" si="115"/>
        <v>0</v>
      </c>
      <c r="GC135" s="39">
        <f t="shared" si="115"/>
        <v>0</v>
      </c>
      <c r="GD135" s="39">
        <f t="shared" si="115"/>
        <v>9975</v>
      </c>
      <c r="GE135" s="39">
        <f t="shared" si="115"/>
        <v>9975</v>
      </c>
      <c r="GF135" s="39">
        <f t="shared" si="115"/>
        <v>0</v>
      </c>
      <c r="GG135" s="39">
        <f t="shared" si="115"/>
        <v>0</v>
      </c>
      <c r="GH135" s="39">
        <f t="shared" si="115"/>
        <v>0</v>
      </c>
      <c r="GI135" s="39">
        <f t="shared" si="115"/>
        <v>0</v>
      </c>
      <c r="GJ135" s="39">
        <f t="shared" si="115"/>
        <v>75020.9</v>
      </c>
      <c r="GK135" s="39">
        <f t="shared" si="115"/>
        <v>75020.9</v>
      </c>
      <c r="GL135" s="39">
        <f t="shared" si="115"/>
        <v>165808.5</v>
      </c>
      <c r="GM135" s="39">
        <f aca="true" t="shared" si="116" ref="GM135:HY135">SUM(GM136:GM143)</f>
        <v>165808.5</v>
      </c>
      <c r="GN135" s="39">
        <f t="shared" si="116"/>
        <v>0</v>
      </c>
      <c r="GO135" s="39">
        <f t="shared" si="116"/>
        <v>0</v>
      </c>
      <c r="GP135" s="39">
        <f t="shared" si="116"/>
        <v>10859.7</v>
      </c>
      <c r="GQ135" s="39">
        <f t="shared" si="116"/>
        <v>10859.7</v>
      </c>
      <c r="GR135" s="39">
        <f t="shared" si="116"/>
        <v>1064</v>
      </c>
      <c r="GS135" s="39">
        <f t="shared" si="116"/>
        <v>1064</v>
      </c>
      <c r="GT135" s="39">
        <f t="shared" si="116"/>
        <v>499</v>
      </c>
      <c r="GU135" s="39">
        <f t="shared" si="116"/>
        <v>499</v>
      </c>
      <c r="GV135" s="39">
        <f t="shared" si="116"/>
        <v>27555</v>
      </c>
      <c r="GW135" s="39">
        <f t="shared" si="116"/>
        <v>27555</v>
      </c>
      <c r="GX135" s="39">
        <f t="shared" si="116"/>
        <v>6331.6</v>
      </c>
      <c r="GY135" s="39">
        <f t="shared" si="116"/>
        <v>6331.6</v>
      </c>
      <c r="GZ135" s="39">
        <f t="shared" si="116"/>
        <v>0</v>
      </c>
      <c r="HA135" s="39">
        <f t="shared" si="116"/>
        <v>0</v>
      </c>
      <c r="HB135" s="39">
        <f t="shared" si="116"/>
        <v>186.6</v>
      </c>
      <c r="HC135" s="39">
        <f t="shared" si="116"/>
        <v>186.6</v>
      </c>
      <c r="HD135" s="39">
        <f t="shared" si="116"/>
        <v>331600.1</v>
      </c>
      <c r="HE135" s="39">
        <f t="shared" si="116"/>
        <v>317369.29999999993</v>
      </c>
      <c r="HF135" s="39">
        <f t="shared" si="116"/>
        <v>0</v>
      </c>
      <c r="HG135" s="39">
        <f t="shared" si="116"/>
        <v>0</v>
      </c>
      <c r="HH135" s="39">
        <f t="shared" si="116"/>
        <v>0</v>
      </c>
      <c r="HI135" s="39">
        <f t="shared" si="116"/>
        <v>0</v>
      </c>
      <c r="HJ135" s="39">
        <f t="shared" si="116"/>
        <v>0</v>
      </c>
      <c r="HK135" s="39">
        <f t="shared" si="116"/>
        <v>0</v>
      </c>
      <c r="HL135" s="39">
        <f t="shared" si="116"/>
        <v>0</v>
      </c>
      <c r="HM135" s="39">
        <f t="shared" si="116"/>
        <v>0</v>
      </c>
      <c r="HN135" s="39">
        <f t="shared" si="116"/>
        <v>0</v>
      </c>
      <c r="HO135" s="39">
        <f t="shared" si="116"/>
        <v>0</v>
      </c>
      <c r="HP135" s="39">
        <f t="shared" si="116"/>
        <v>0</v>
      </c>
      <c r="HQ135" s="39">
        <f t="shared" si="116"/>
        <v>0</v>
      </c>
      <c r="HR135" s="39">
        <f t="shared" si="116"/>
        <v>0</v>
      </c>
      <c r="HS135" s="39">
        <f t="shared" si="116"/>
        <v>0</v>
      </c>
      <c r="HT135" s="39">
        <f t="shared" si="116"/>
        <v>369</v>
      </c>
      <c r="HU135" s="39">
        <f t="shared" si="116"/>
        <v>364.8</v>
      </c>
      <c r="HV135" s="39">
        <f t="shared" si="116"/>
        <v>2.885</v>
      </c>
      <c r="HW135" s="39">
        <f t="shared" si="116"/>
        <v>2.885</v>
      </c>
      <c r="HX135" s="39">
        <f t="shared" si="116"/>
        <v>371.885</v>
      </c>
      <c r="HY135" s="39">
        <f t="shared" si="116"/>
        <v>367.685</v>
      </c>
    </row>
    <row r="136" spans="1:233" ht="12.75" customHeight="1">
      <c r="A136" s="12" t="s">
        <v>156</v>
      </c>
      <c r="B136" s="39">
        <f>8377+5585+6980+4188+6981+6981+6980+6980.6+6981+6980.4+5584.7+2000+4584.7+4584.6</f>
        <v>83768</v>
      </c>
      <c r="C136" s="39">
        <f>8377+5585+6980+4188+6981+6981+6980+6980.6+6981+6980.4+5584.7+2000+4584.7+4584.6</f>
        <v>83768</v>
      </c>
      <c r="D136" s="39"/>
      <c r="E136" s="39"/>
      <c r="F136" s="39">
        <f>5547+3698+4622+2773+4622+1687+1687+1687+9800+1687+1687+1686.3+7141.4+7141.3</f>
        <v>55466.00000000001</v>
      </c>
      <c r="G136" s="39">
        <f>5547+3698+4622+2773+4622+1687+1687+1687+9800+1687+1687+1686.3+7141.4+7141.3</f>
        <v>55466.00000000001</v>
      </c>
      <c r="H136" s="34"/>
      <c r="I136" s="34"/>
      <c r="J136" s="39">
        <v>9500</v>
      </c>
      <c r="K136" s="39">
        <v>9500</v>
      </c>
      <c r="L136" s="34"/>
      <c r="M136" s="34"/>
      <c r="N136" s="34"/>
      <c r="O136" s="34"/>
      <c r="P136" s="34"/>
      <c r="Q136" s="34"/>
      <c r="R136" s="39"/>
      <c r="S136" s="39"/>
      <c r="T136" s="39"/>
      <c r="U136" s="39"/>
      <c r="V136" s="39"/>
      <c r="W136" s="34"/>
      <c r="X136" s="34"/>
      <c r="Y136" s="34"/>
      <c r="Z136" s="34"/>
      <c r="AA136" s="34"/>
      <c r="AB136" s="34"/>
      <c r="AC136" s="34"/>
      <c r="AD136" s="34"/>
      <c r="AE136" s="34"/>
      <c r="AF136" s="39"/>
      <c r="AG136" s="48"/>
      <c r="AH136" s="126">
        <f t="shared" si="65"/>
        <v>148734</v>
      </c>
      <c r="AI136" s="126">
        <f t="shared" si="98"/>
        <v>148734</v>
      </c>
      <c r="AJ136" s="43">
        <v>381.6</v>
      </c>
      <c r="AK136" s="43">
        <v>381.6</v>
      </c>
      <c r="AL136" s="134"/>
      <c r="AM136" s="41"/>
      <c r="AN136" s="41"/>
      <c r="AO136" s="41"/>
      <c r="AP136" s="41"/>
      <c r="AQ136" s="41"/>
      <c r="AR136" s="39"/>
      <c r="AS136" s="39"/>
      <c r="AT136" s="43">
        <v>40</v>
      </c>
      <c r="AU136" s="43">
        <v>40</v>
      </c>
      <c r="AV136" s="43"/>
      <c r="AW136" s="43"/>
      <c r="AX136" s="43"/>
      <c r="AY136" s="43"/>
      <c r="AZ136" s="39">
        <f t="shared" si="67"/>
        <v>421.6</v>
      </c>
      <c r="BA136" s="39">
        <f t="shared" si="61"/>
        <v>421.6</v>
      </c>
      <c r="BB136" s="39">
        <v>2298</v>
      </c>
      <c r="BC136" s="39">
        <v>2298</v>
      </c>
      <c r="BD136" s="39"/>
      <c r="BE136" s="43"/>
      <c r="BF136" s="43"/>
      <c r="BG136" s="43"/>
      <c r="BH136" s="43"/>
      <c r="BI136" s="43"/>
      <c r="BJ136" s="43">
        <v>7845</v>
      </c>
      <c r="BK136" s="43">
        <v>7845</v>
      </c>
      <c r="BL136" s="43">
        <v>1968</v>
      </c>
      <c r="BM136" s="43">
        <v>1968</v>
      </c>
      <c r="BN136" s="43">
        <v>1408.8</v>
      </c>
      <c r="BO136" s="43">
        <v>1408.8</v>
      </c>
      <c r="BP136" s="43">
        <v>0</v>
      </c>
      <c r="BQ136" s="43">
        <v>0</v>
      </c>
      <c r="BR136" s="43"/>
      <c r="BS136" s="43"/>
      <c r="BT136" s="43"/>
      <c r="BU136" s="43"/>
      <c r="BV136" s="43">
        <v>150.586</v>
      </c>
      <c r="BW136" s="43">
        <v>150.586</v>
      </c>
      <c r="BX136" s="43">
        <v>1303.38</v>
      </c>
      <c r="BY136" s="43">
        <v>1291.107</v>
      </c>
      <c r="BZ136" s="43"/>
      <c r="CA136" s="43"/>
      <c r="CB136" s="39">
        <v>6770.86</v>
      </c>
      <c r="CC136" s="39">
        <v>6770.86</v>
      </c>
      <c r="CD136" s="43">
        <v>0</v>
      </c>
      <c r="CE136" s="43">
        <v>0</v>
      </c>
      <c r="CF136" s="39">
        <f t="shared" si="68"/>
        <v>19446.626</v>
      </c>
      <c r="CG136" s="39">
        <f t="shared" si="99"/>
        <v>19434.353</v>
      </c>
      <c r="CH136" s="39"/>
      <c r="CI136" s="39"/>
      <c r="CJ136" s="39"/>
      <c r="CK136" s="45"/>
      <c r="CL136" s="45"/>
      <c r="CM136" s="43"/>
      <c r="CN136" s="43"/>
      <c r="CO136" s="43"/>
      <c r="CP136" s="43"/>
      <c r="CQ136" s="39"/>
      <c r="CR136" s="43"/>
      <c r="CS136" s="45"/>
      <c r="CT136" s="45"/>
      <c r="CU136" s="45"/>
      <c r="CV136" s="45"/>
      <c r="CW136" s="43"/>
      <c r="CX136" s="43"/>
      <c r="CY136" s="43"/>
      <c r="CZ136" s="39"/>
      <c r="DA136" s="45"/>
      <c r="DB136" s="43"/>
      <c r="DC136" s="43"/>
      <c r="DD136" s="43"/>
      <c r="DE136" s="43"/>
      <c r="DF136" s="39">
        <f t="shared" si="70"/>
        <v>0</v>
      </c>
      <c r="DG136" s="39">
        <f t="shared" si="100"/>
        <v>0</v>
      </c>
      <c r="DH136" s="39">
        <v>1352.14</v>
      </c>
      <c r="DI136" s="39">
        <v>1352.14</v>
      </c>
      <c r="DJ136" s="39">
        <v>1352.14</v>
      </c>
      <c r="DK136" s="39">
        <f t="shared" si="62"/>
        <v>1352.14</v>
      </c>
      <c r="DL136" s="39"/>
      <c r="DM136" s="39"/>
      <c r="DN136" s="43"/>
      <c r="DO136" s="43"/>
      <c r="DP136" s="39">
        <f t="shared" si="72"/>
        <v>0</v>
      </c>
      <c r="DQ136" s="39">
        <f t="shared" si="63"/>
        <v>0</v>
      </c>
      <c r="DR136" s="39"/>
      <c r="DS136" s="39"/>
      <c r="DT136" s="43"/>
      <c r="DU136" s="43"/>
      <c r="DV136" s="43"/>
      <c r="DW136" s="43"/>
      <c r="DX136" s="43"/>
      <c r="DY136" s="43"/>
      <c r="DZ136" s="39"/>
      <c r="EA136" s="39"/>
      <c r="EB136" s="43"/>
      <c r="EC136" s="43"/>
      <c r="ED136" s="43">
        <v>100</v>
      </c>
      <c r="EE136" s="43">
        <v>100</v>
      </c>
      <c r="EF136" s="39">
        <v>3807.2</v>
      </c>
      <c r="EG136" s="43">
        <v>3807.2</v>
      </c>
      <c r="EH136" s="43">
        <v>6127.1</v>
      </c>
      <c r="EI136" s="39">
        <v>6127.1</v>
      </c>
      <c r="EJ136" s="39">
        <v>602</v>
      </c>
      <c r="EK136" s="43">
        <v>602</v>
      </c>
      <c r="EL136" s="43"/>
      <c r="EM136" s="43"/>
      <c r="EN136" s="45"/>
      <c r="EO136" s="45"/>
      <c r="EP136" s="43"/>
      <c r="EQ136" s="43"/>
      <c r="ER136" s="43"/>
      <c r="ES136" s="43"/>
      <c r="ET136" s="135"/>
      <c r="EU136" s="135"/>
      <c r="EV136" s="135">
        <v>6.7</v>
      </c>
      <c r="EW136" s="135">
        <v>6.7</v>
      </c>
      <c r="EX136" s="43"/>
      <c r="EY136" s="43"/>
      <c r="EZ136" s="43">
        <v>100</v>
      </c>
      <c r="FA136" s="43">
        <v>100</v>
      </c>
      <c r="FB136" s="37">
        <f t="shared" si="73"/>
        <v>10743</v>
      </c>
      <c r="FC136" s="37">
        <f t="shared" si="101"/>
        <v>10743</v>
      </c>
      <c r="FD136" s="39">
        <v>1006.49</v>
      </c>
      <c r="FE136" s="39">
        <v>1006.49</v>
      </c>
      <c r="FF136" s="43">
        <v>59.1</v>
      </c>
      <c r="FG136" s="43">
        <v>59.1</v>
      </c>
      <c r="FH136" s="132">
        <f t="shared" si="75"/>
        <v>1065.59</v>
      </c>
      <c r="FI136" s="132">
        <f t="shared" si="64"/>
        <v>1065.59</v>
      </c>
      <c r="FJ136" s="39"/>
      <c r="FK136" s="39"/>
      <c r="FL136" s="43"/>
      <c r="FM136" s="43"/>
      <c r="FN136" s="43"/>
      <c r="FO136" s="43"/>
      <c r="FP136" s="43"/>
      <c r="FQ136" s="43"/>
      <c r="FR136" s="39">
        <v>14230.8</v>
      </c>
      <c r="FS136" s="135"/>
      <c r="FT136" s="43">
        <v>2070</v>
      </c>
      <c r="FU136" s="43">
        <v>2070</v>
      </c>
      <c r="FV136" s="43">
        <v>405</v>
      </c>
      <c r="FW136" s="43">
        <v>405</v>
      </c>
      <c r="FX136" s="43">
        <v>13184</v>
      </c>
      <c r="FY136" s="43">
        <v>13184</v>
      </c>
      <c r="FZ136" s="43">
        <v>4410</v>
      </c>
      <c r="GA136" s="43">
        <v>4410</v>
      </c>
      <c r="GB136" s="43"/>
      <c r="GC136" s="43"/>
      <c r="GD136" s="135">
        <v>9975</v>
      </c>
      <c r="GE136" s="135">
        <v>9975</v>
      </c>
      <c r="GF136" s="43"/>
      <c r="GG136" s="43"/>
      <c r="GH136" s="43"/>
      <c r="GI136" s="43"/>
      <c r="GJ136" s="43">
        <v>75020.9</v>
      </c>
      <c r="GK136" s="43">
        <v>75020.9</v>
      </c>
      <c r="GL136" s="43">
        <v>165808.5</v>
      </c>
      <c r="GM136" s="43">
        <v>165808.5</v>
      </c>
      <c r="GN136" s="43"/>
      <c r="GO136" s="43"/>
      <c r="GP136" s="43">
        <v>10859.7</v>
      </c>
      <c r="GQ136" s="43">
        <v>10859.7</v>
      </c>
      <c r="GR136" s="43">
        <v>1064</v>
      </c>
      <c r="GS136" s="43">
        <v>1064</v>
      </c>
      <c r="GT136" s="43">
        <v>499</v>
      </c>
      <c r="GU136" s="43">
        <v>499</v>
      </c>
      <c r="GV136" s="43">
        <v>27555</v>
      </c>
      <c r="GW136" s="43">
        <v>27555</v>
      </c>
      <c r="GX136" s="45">
        <v>6331.6</v>
      </c>
      <c r="GY136" s="45">
        <v>6331.6</v>
      </c>
      <c r="GZ136" s="43"/>
      <c r="HA136" s="43"/>
      <c r="HB136" s="43">
        <v>186.6</v>
      </c>
      <c r="HC136" s="43">
        <v>186.6</v>
      </c>
      <c r="HD136" s="39">
        <f t="shared" si="76"/>
        <v>331600.1</v>
      </c>
      <c r="HE136" s="39">
        <f t="shared" si="102"/>
        <v>317369.29999999993</v>
      </c>
      <c r="HF136" s="39"/>
      <c r="HG136" s="39"/>
      <c r="HH136" s="39"/>
      <c r="HI136" s="43"/>
      <c r="HJ136" s="43"/>
      <c r="HK136" s="43"/>
      <c r="HL136" s="43"/>
      <c r="HM136" s="43"/>
      <c r="HN136" s="126"/>
      <c r="HO136" s="126"/>
      <c r="HP136" s="39">
        <f t="shared" si="78"/>
        <v>0</v>
      </c>
      <c r="HQ136" s="39">
        <f t="shared" si="103"/>
        <v>0</v>
      </c>
      <c r="HR136" s="39"/>
      <c r="HS136" s="39"/>
      <c r="HT136" s="39">
        <v>369</v>
      </c>
      <c r="HU136" s="43">
        <v>364.8</v>
      </c>
      <c r="HV136" s="39">
        <v>2.885</v>
      </c>
      <c r="HW136" s="39">
        <v>2.885</v>
      </c>
      <c r="HX136" s="39">
        <f t="shared" si="80"/>
        <v>371.885</v>
      </c>
      <c r="HY136" s="39">
        <f t="shared" si="104"/>
        <v>367.685</v>
      </c>
    </row>
    <row r="137" spans="1:233" ht="12.75">
      <c r="A137" s="14" t="s">
        <v>220</v>
      </c>
      <c r="B137" s="39"/>
      <c r="C137" s="39"/>
      <c r="D137" s="39">
        <f>192+192+193+160+160+160+160+160+160+128+128+128</f>
        <v>1921</v>
      </c>
      <c r="E137" s="39">
        <f>192+192+193+160+160+160+160+160+160+128+128+128</f>
        <v>1921</v>
      </c>
      <c r="F137" s="39"/>
      <c r="G137" s="39"/>
      <c r="H137" s="34"/>
      <c r="I137" s="34"/>
      <c r="J137" s="34"/>
      <c r="K137" s="34"/>
      <c r="L137" s="34"/>
      <c r="M137" s="34"/>
      <c r="N137" s="34"/>
      <c r="O137" s="34"/>
      <c r="P137" s="34"/>
      <c r="Q137" s="34"/>
      <c r="R137" s="39">
        <v>2370</v>
      </c>
      <c r="S137" s="39">
        <f>1969.64615</f>
        <v>1969.64615</v>
      </c>
      <c r="T137" s="39">
        <v>5311.73757</v>
      </c>
      <c r="U137" s="39">
        <f>135.23205+850+2806.79+1519.71552</f>
        <v>5311.73757</v>
      </c>
      <c r="V137" s="39"/>
      <c r="W137" s="34"/>
      <c r="X137" s="34"/>
      <c r="Y137" s="34"/>
      <c r="Z137" s="34"/>
      <c r="AA137" s="34"/>
      <c r="AB137" s="34"/>
      <c r="AC137" s="34"/>
      <c r="AD137" s="34"/>
      <c r="AE137" s="34"/>
      <c r="AF137" s="39"/>
      <c r="AG137" s="48"/>
      <c r="AH137" s="126">
        <f t="shared" si="65"/>
        <v>9602.737570000001</v>
      </c>
      <c r="AI137" s="126">
        <f t="shared" si="98"/>
        <v>9202.38372</v>
      </c>
      <c r="AJ137" s="43"/>
      <c r="AK137" s="43"/>
      <c r="AL137" s="134"/>
      <c r="AM137" s="41"/>
      <c r="AN137" s="41"/>
      <c r="AO137" s="41"/>
      <c r="AP137" s="41"/>
      <c r="AQ137" s="41"/>
      <c r="AR137" s="39"/>
      <c r="AS137" s="39"/>
      <c r="AT137" s="43"/>
      <c r="AU137" s="43"/>
      <c r="AV137" s="43"/>
      <c r="AW137" s="43"/>
      <c r="AX137" s="43"/>
      <c r="AY137" s="43"/>
      <c r="AZ137" s="39">
        <f t="shared" si="67"/>
        <v>0</v>
      </c>
      <c r="BA137" s="39">
        <f t="shared" si="61"/>
        <v>0</v>
      </c>
      <c r="BB137" s="39">
        <v>0</v>
      </c>
      <c r="BC137" s="39">
        <v>0</v>
      </c>
      <c r="BD137" s="39">
        <v>706.2</v>
      </c>
      <c r="BE137" s="43">
        <v>287.8</v>
      </c>
      <c r="BF137" s="43"/>
      <c r="BG137" s="43"/>
      <c r="BH137" s="43"/>
      <c r="BI137" s="43"/>
      <c r="BJ137" s="43"/>
      <c r="BK137" s="43"/>
      <c r="BL137" s="43"/>
      <c r="BM137" s="43"/>
      <c r="BN137" s="45"/>
      <c r="BO137" s="45"/>
      <c r="BP137" s="45"/>
      <c r="BQ137" s="45"/>
      <c r="BR137" s="43"/>
      <c r="BS137" s="43"/>
      <c r="BT137" s="43"/>
      <c r="BU137" s="43"/>
      <c r="BV137" s="45"/>
      <c r="BW137" s="45"/>
      <c r="BX137" s="43"/>
      <c r="BY137" s="45"/>
      <c r="BZ137" s="43"/>
      <c r="CA137" s="45"/>
      <c r="CB137" s="45"/>
      <c r="CC137" s="45"/>
      <c r="CD137" s="45"/>
      <c r="CE137" s="45"/>
      <c r="CF137" s="39">
        <f t="shared" si="68"/>
        <v>706.2</v>
      </c>
      <c r="CG137" s="39">
        <f t="shared" si="99"/>
        <v>287.8</v>
      </c>
      <c r="CH137" s="39"/>
      <c r="CI137" s="39"/>
      <c r="CJ137" s="39"/>
      <c r="CK137" s="45"/>
      <c r="CL137" s="45"/>
      <c r="CM137" s="43"/>
      <c r="CN137" s="43"/>
      <c r="CO137" s="43"/>
      <c r="CP137" s="43">
        <v>4633.58</v>
      </c>
      <c r="CQ137" s="43">
        <v>4633.58</v>
      </c>
      <c r="CR137" s="43">
        <v>5326.79</v>
      </c>
      <c r="CS137" s="43">
        <v>5326.79</v>
      </c>
      <c r="CT137" s="43"/>
      <c r="CU137" s="45"/>
      <c r="CV137" s="45"/>
      <c r="CW137" s="43"/>
      <c r="CX137" s="43"/>
      <c r="CY137" s="43"/>
      <c r="CZ137" s="39">
        <v>99.822</v>
      </c>
      <c r="DA137" s="39">
        <v>99.822</v>
      </c>
      <c r="DB137" s="43"/>
      <c r="DC137" s="43"/>
      <c r="DD137" s="43"/>
      <c r="DE137" s="43"/>
      <c r="DF137" s="39">
        <f t="shared" si="70"/>
        <v>10060.192</v>
      </c>
      <c r="DG137" s="39">
        <f t="shared" si="100"/>
        <v>10060.192</v>
      </c>
      <c r="DH137" s="39"/>
      <c r="DI137" s="39"/>
      <c r="DJ137" s="39">
        <v>0</v>
      </c>
      <c r="DK137" s="39">
        <f t="shared" si="62"/>
        <v>0</v>
      </c>
      <c r="DL137" s="39"/>
      <c r="DM137" s="39"/>
      <c r="DN137" s="43"/>
      <c r="DO137" s="43"/>
      <c r="DP137" s="39">
        <f t="shared" si="72"/>
        <v>0</v>
      </c>
      <c r="DQ137" s="39">
        <f t="shared" si="63"/>
        <v>0</v>
      </c>
      <c r="DR137" s="39"/>
      <c r="DS137" s="39"/>
      <c r="DT137" s="43"/>
      <c r="DU137" s="43"/>
      <c r="DV137" s="43"/>
      <c r="DW137" s="43"/>
      <c r="DX137" s="43"/>
      <c r="DY137" s="43"/>
      <c r="DZ137" s="39"/>
      <c r="EA137" s="39"/>
      <c r="EB137" s="43"/>
      <c r="EC137" s="43"/>
      <c r="ED137" s="43"/>
      <c r="EE137" s="43"/>
      <c r="EF137" s="39"/>
      <c r="EG137" s="43"/>
      <c r="EH137" s="43">
        <v>260</v>
      </c>
      <c r="EI137" s="39">
        <v>260</v>
      </c>
      <c r="EJ137" s="39">
        <v>0</v>
      </c>
      <c r="EK137" s="43">
        <v>0</v>
      </c>
      <c r="EL137" s="43"/>
      <c r="EM137" s="43"/>
      <c r="EN137" s="45"/>
      <c r="EO137" s="45"/>
      <c r="EP137" s="43"/>
      <c r="EQ137" s="43"/>
      <c r="ER137" s="43"/>
      <c r="ES137" s="43"/>
      <c r="ET137" s="135"/>
      <c r="EU137" s="135"/>
      <c r="EV137" s="135"/>
      <c r="EW137" s="135"/>
      <c r="EX137" s="43"/>
      <c r="EY137" s="43"/>
      <c r="EZ137" s="43"/>
      <c r="FA137" s="43"/>
      <c r="FB137" s="37">
        <f t="shared" si="73"/>
        <v>260</v>
      </c>
      <c r="FC137" s="37">
        <f t="shared" si="101"/>
        <v>260</v>
      </c>
      <c r="FD137" s="39"/>
      <c r="FE137" s="39"/>
      <c r="FF137" s="43"/>
      <c r="FG137" s="43"/>
      <c r="FH137" s="132">
        <f t="shared" si="75"/>
        <v>0</v>
      </c>
      <c r="FI137" s="132">
        <f t="shared" si="64"/>
        <v>0</v>
      </c>
      <c r="FJ137" s="39"/>
      <c r="FK137" s="39"/>
      <c r="FL137" s="43"/>
      <c r="FM137" s="43"/>
      <c r="FN137" s="43"/>
      <c r="FO137" s="43"/>
      <c r="FP137" s="43"/>
      <c r="FQ137" s="43"/>
      <c r="FR137" s="39"/>
      <c r="FS137" s="135"/>
      <c r="FT137" s="43"/>
      <c r="FU137" s="43"/>
      <c r="FV137" s="43"/>
      <c r="FW137" s="43"/>
      <c r="FX137" s="43"/>
      <c r="FY137" s="43"/>
      <c r="FZ137" s="43"/>
      <c r="GA137" s="43"/>
      <c r="GB137" s="43"/>
      <c r="GC137" s="43"/>
      <c r="GD137" s="135"/>
      <c r="GE137" s="135"/>
      <c r="GF137" s="43"/>
      <c r="GG137" s="43"/>
      <c r="GH137" s="43"/>
      <c r="GI137" s="43"/>
      <c r="GJ137" s="43"/>
      <c r="GK137" s="43"/>
      <c r="GL137" s="43"/>
      <c r="GM137" s="43"/>
      <c r="GN137" s="43"/>
      <c r="GO137" s="43"/>
      <c r="GP137" s="43"/>
      <c r="GQ137" s="43"/>
      <c r="GR137" s="43"/>
      <c r="GS137" s="43"/>
      <c r="GT137" s="43"/>
      <c r="GU137" s="43"/>
      <c r="GV137" s="43"/>
      <c r="GW137" s="43"/>
      <c r="GX137" s="45"/>
      <c r="GY137" s="45"/>
      <c r="GZ137" s="43"/>
      <c r="HA137" s="43"/>
      <c r="HB137" s="43"/>
      <c r="HC137" s="43"/>
      <c r="HD137" s="39">
        <f t="shared" si="76"/>
        <v>0</v>
      </c>
      <c r="HE137" s="39">
        <f t="shared" si="102"/>
        <v>0</v>
      </c>
      <c r="HF137" s="39"/>
      <c r="HG137" s="39"/>
      <c r="HH137" s="39"/>
      <c r="HI137" s="43"/>
      <c r="HJ137" s="43"/>
      <c r="HK137" s="43"/>
      <c r="HL137" s="43"/>
      <c r="HM137" s="43"/>
      <c r="HN137" s="136"/>
      <c r="HO137" s="136"/>
      <c r="HP137" s="39">
        <f t="shared" si="78"/>
        <v>0</v>
      </c>
      <c r="HQ137" s="39">
        <f t="shared" si="103"/>
        <v>0</v>
      </c>
      <c r="HR137" s="39"/>
      <c r="HS137" s="39"/>
      <c r="HT137" s="39"/>
      <c r="HU137" s="43"/>
      <c r="HV137" s="39"/>
      <c r="HW137" s="39"/>
      <c r="HX137" s="39">
        <f t="shared" si="80"/>
        <v>0</v>
      </c>
      <c r="HY137" s="39">
        <f t="shared" si="104"/>
        <v>0</v>
      </c>
    </row>
    <row r="138" spans="1:233" ht="12.75" customHeight="1">
      <c r="A138" s="14" t="s">
        <v>223</v>
      </c>
      <c r="B138" s="39"/>
      <c r="C138" s="39"/>
      <c r="D138" s="39">
        <f>546+546+545+455+455+454+455+455+454+364+364+364</f>
        <v>5457</v>
      </c>
      <c r="E138" s="39">
        <f>546+546+545+455+455+454+455+455+454+364+364+364</f>
        <v>5457</v>
      </c>
      <c r="F138" s="39"/>
      <c r="G138" s="39"/>
      <c r="H138" s="34"/>
      <c r="I138" s="34"/>
      <c r="J138" s="34"/>
      <c r="K138" s="34"/>
      <c r="L138" s="34"/>
      <c r="M138" s="34"/>
      <c r="N138" s="34"/>
      <c r="O138" s="34"/>
      <c r="P138" s="34"/>
      <c r="Q138" s="34"/>
      <c r="R138" s="39">
        <v>2750</v>
      </c>
      <c r="S138" s="39">
        <f>2748.80348</f>
        <v>2748.80348</v>
      </c>
      <c r="T138" s="39">
        <v>49.05566</v>
      </c>
      <c r="U138" s="39">
        <v>49.05566</v>
      </c>
      <c r="V138" s="39"/>
      <c r="W138" s="34"/>
      <c r="X138" s="34"/>
      <c r="Y138" s="34"/>
      <c r="Z138" s="34"/>
      <c r="AA138" s="34"/>
      <c r="AB138" s="34"/>
      <c r="AC138" s="34"/>
      <c r="AD138" s="34"/>
      <c r="AE138" s="34"/>
      <c r="AF138" s="39">
        <v>147</v>
      </c>
      <c r="AG138" s="39">
        <f>12.3+12.3+12.3+12.3+12.3+22.5+4.4+24.4+11.2+12+11</f>
        <v>147</v>
      </c>
      <c r="AH138" s="126">
        <f t="shared" si="65"/>
        <v>8403.05566</v>
      </c>
      <c r="AI138" s="126">
        <f t="shared" si="98"/>
        <v>8401.85914</v>
      </c>
      <c r="AJ138" s="43"/>
      <c r="AK138" s="43"/>
      <c r="AL138" s="134"/>
      <c r="AM138" s="41"/>
      <c r="AN138" s="41"/>
      <c r="AO138" s="41"/>
      <c r="AP138" s="41"/>
      <c r="AQ138" s="41"/>
      <c r="AR138" s="39"/>
      <c r="AS138" s="39"/>
      <c r="AT138" s="43"/>
      <c r="AU138" s="43"/>
      <c r="AV138" s="43"/>
      <c r="AW138" s="43"/>
      <c r="AX138" s="43"/>
      <c r="AY138" s="43"/>
      <c r="AZ138" s="39">
        <f t="shared" si="67"/>
        <v>0</v>
      </c>
      <c r="BA138" s="39">
        <f t="shared" si="61"/>
        <v>0</v>
      </c>
      <c r="BB138" s="39">
        <v>0</v>
      </c>
      <c r="BC138" s="39">
        <v>0</v>
      </c>
      <c r="BD138" s="39">
        <v>71.8</v>
      </c>
      <c r="BE138" s="43">
        <v>68.067</v>
      </c>
      <c r="BF138" s="43"/>
      <c r="BG138" s="43"/>
      <c r="BH138" s="43"/>
      <c r="BI138" s="43"/>
      <c r="BJ138" s="43"/>
      <c r="BK138" s="43"/>
      <c r="BL138" s="43"/>
      <c r="BM138" s="43"/>
      <c r="BN138" s="45"/>
      <c r="BO138" s="45"/>
      <c r="BP138" s="45"/>
      <c r="BQ138" s="45"/>
      <c r="BR138" s="43"/>
      <c r="BS138" s="43"/>
      <c r="BT138" s="43"/>
      <c r="BU138" s="43"/>
      <c r="BV138" s="45"/>
      <c r="BW138" s="45"/>
      <c r="BX138" s="43"/>
      <c r="BY138" s="45"/>
      <c r="BZ138" s="43"/>
      <c r="CA138" s="45"/>
      <c r="CB138" s="45"/>
      <c r="CC138" s="45"/>
      <c r="CD138" s="45"/>
      <c r="CE138" s="45"/>
      <c r="CF138" s="39">
        <f t="shared" si="68"/>
        <v>71.8</v>
      </c>
      <c r="CG138" s="39">
        <f t="shared" si="99"/>
        <v>68.067</v>
      </c>
      <c r="CH138" s="39"/>
      <c r="CI138" s="39"/>
      <c r="CJ138" s="39"/>
      <c r="CK138" s="45"/>
      <c r="CL138" s="45"/>
      <c r="CM138" s="43"/>
      <c r="CN138" s="43"/>
      <c r="CO138" s="43"/>
      <c r="CP138" s="43"/>
      <c r="CQ138" s="39"/>
      <c r="CR138" s="43"/>
      <c r="CS138" s="45"/>
      <c r="CT138" s="45"/>
      <c r="CU138" s="45"/>
      <c r="CV138" s="45"/>
      <c r="CW138" s="43"/>
      <c r="CX138" s="43"/>
      <c r="CY138" s="43"/>
      <c r="CZ138" s="39"/>
      <c r="DA138" s="45"/>
      <c r="DB138" s="43"/>
      <c r="DC138" s="43"/>
      <c r="DD138" s="43"/>
      <c r="DE138" s="43"/>
      <c r="DF138" s="39">
        <f t="shared" si="70"/>
        <v>0</v>
      </c>
      <c r="DG138" s="39">
        <f t="shared" si="100"/>
        <v>0</v>
      </c>
      <c r="DH138" s="39"/>
      <c r="DI138" s="39"/>
      <c r="DJ138" s="39">
        <v>0</v>
      </c>
      <c r="DK138" s="39">
        <f t="shared" si="62"/>
        <v>0</v>
      </c>
      <c r="DL138" s="39"/>
      <c r="DM138" s="39"/>
      <c r="DN138" s="43"/>
      <c r="DO138" s="43"/>
      <c r="DP138" s="39">
        <f t="shared" si="72"/>
        <v>0</v>
      </c>
      <c r="DQ138" s="39">
        <f t="shared" si="63"/>
        <v>0</v>
      </c>
      <c r="DR138" s="39"/>
      <c r="DS138" s="39"/>
      <c r="DT138" s="43"/>
      <c r="DU138" s="43"/>
      <c r="DV138" s="43"/>
      <c r="DW138" s="43"/>
      <c r="DX138" s="43"/>
      <c r="DY138" s="43"/>
      <c r="DZ138" s="39"/>
      <c r="EA138" s="39"/>
      <c r="EB138" s="43"/>
      <c r="EC138" s="43"/>
      <c r="ED138" s="43"/>
      <c r="EE138" s="43"/>
      <c r="EF138" s="39"/>
      <c r="EG138" s="43"/>
      <c r="EH138" s="43"/>
      <c r="EI138" s="45"/>
      <c r="EJ138" s="39">
        <v>0</v>
      </c>
      <c r="EK138" s="43">
        <v>0</v>
      </c>
      <c r="EL138" s="43"/>
      <c r="EM138" s="43"/>
      <c r="EN138" s="45"/>
      <c r="EO138" s="45"/>
      <c r="EP138" s="43"/>
      <c r="EQ138" s="43"/>
      <c r="ER138" s="43"/>
      <c r="ES138" s="43"/>
      <c r="ET138" s="135"/>
      <c r="EU138" s="135"/>
      <c r="EV138" s="135"/>
      <c r="EW138" s="135"/>
      <c r="EX138" s="43"/>
      <c r="EY138" s="43"/>
      <c r="EZ138" s="43"/>
      <c r="FA138" s="43"/>
      <c r="FB138" s="37">
        <f t="shared" si="73"/>
        <v>0</v>
      </c>
      <c r="FC138" s="37">
        <f t="shared" si="101"/>
        <v>0</v>
      </c>
      <c r="FD138" s="39"/>
      <c r="FE138" s="39"/>
      <c r="FF138" s="43"/>
      <c r="FG138" s="43"/>
      <c r="FH138" s="132">
        <f t="shared" si="75"/>
        <v>0</v>
      </c>
      <c r="FI138" s="132">
        <f t="shared" si="64"/>
        <v>0</v>
      </c>
      <c r="FJ138" s="39"/>
      <c r="FK138" s="39"/>
      <c r="FL138" s="43"/>
      <c r="FM138" s="43"/>
      <c r="FN138" s="43"/>
      <c r="FO138" s="43"/>
      <c r="FP138" s="43"/>
      <c r="FQ138" s="43"/>
      <c r="FR138" s="39"/>
      <c r="FS138" s="135"/>
      <c r="FT138" s="43"/>
      <c r="FU138" s="43"/>
      <c r="FV138" s="43"/>
      <c r="FW138" s="43"/>
      <c r="FX138" s="43"/>
      <c r="FY138" s="43"/>
      <c r="FZ138" s="43"/>
      <c r="GA138" s="43"/>
      <c r="GB138" s="43"/>
      <c r="GC138" s="43"/>
      <c r="GD138" s="135"/>
      <c r="GE138" s="135"/>
      <c r="GF138" s="43"/>
      <c r="GG138" s="43"/>
      <c r="GH138" s="43"/>
      <c r="GI138" s="43"/>
      <c r="GJ138" s="43"/>
      <c r="GK138" s="43"/>
      <c r="GL138" s="43"/>
      <c r="GM138" s="43"/>
      <c r="GN138" s="43"/>
      <c r="GO138" s="43"/>
      <c r="GP138" s="43"/>
      <c r="GQ138" s="43"/>
      <c r="GR138" s="43"/>
      <c r="GS138" s="43"/>
      <c r="GT138" s="43"/>
      <c r="GU138" s="43"/>
      <c r="GV138" s="43"/>
      <c r="GW138" s="43"/>
      <c r="GX138" s="45"/>
      <c r="GY138" s="45"/>
      <c r="GZ138" s="43"/>
      <c r="HA138" s="43"/>
      <c r="HB138" s="43"/>
      <c r="HC138" s="43"/>
      <c r="HD138" s="39">
        <f t="shared" si="76"/>
        <v>0</v>
      </c>
      <c r="HE138" s="39">
        <f t="shared" si="102"/>
        <v>0</v>
      </c>
      <c r="HF138" s="39"/>
      <c r="HG138" s="39"/>
      <c r="HH138" s="39"/>
      <c r="HI138" s="43"/>
      <c r="HJ138" s="43"/>
      <c r="HK138" s="43"/>
      <c r="HL138" s="43"/>
      <c r="HM138" s="43"/>
      <c r="HN138" s="136"/>
      <c r="HO138" s="136"/>
      <c r="HP138" s="39">
        <f t="shared" si="78"/>
        <v>0</v>
      </c>
      <c r="HQ138" s="39">
        <f t="shared" si="103"/>
        <v>0</v>
      </c>
      <c r="HR138" s="39"/>
      <c r="HS138" s="39"/>
      <c r="HT138" s="39"/>
      <c r="HU138" s="43"/>
      <c r="HV138" s="39"/>
      <c r="HW138" s="39"/>
      <c r="HX138" s="39">
        <f t="shared" si="80"/>
        <v>0</v>
      </c>
      <c r="HY138" s="39">
        <f t="shared" si="104"/>
        <v>0</v>
      </c>
    </row>
    <row r="139" spans="1:233" ht="12.75">
      <c r="A139" s="14" t="s">
        <v>282</v>
      </c>
      <c r="B139" s="39"/>
      <c r="C139" s="39"/>
      <c r="D139" s="39">
        <f>228+228+227+190+190+189+190+190+189+152.3+152.4+152.3</f>
        <v>2278</v>
      </c>
      <c r="E139" s="39">
        <f>228+228+227+190+190+189+190+190+189+152.3+152.4+152.3</f>
        <v>2278</v>
      </c>
      <c r="F139" s="39"/>
      <c r="G139" s="39"/>
      <c r="H139" s="34"/>
      <c r="I139" s="34"/>
      <c r="J139" s="34"/>
      <c r="K139" s="34"/>
      <c r="L139" s="34"/>
      <c r="M139" s="34"/>
      <c r="N139" s="34"/>
      <c r="O139" s="34"/>
      <c r="P139" s="34"/>
      <c r="Q139" s="34"/>
      <c r="R139" s="39">
        <v>210</v>
      </c>
      <c r="S139" s="39">
        <v>210</v>
      </c>
      <c r="T139" s="39">
        <v>1034</v>
      </c>
      <c r="U139" s="39">
        <v>1034</v>
      </c>
      <c r="V139" s="39"/>
      <c r="W139" s="34"/>
      <c r="X139" s="34"/>
      <c r="Y139" s="34"/>
      <c r="Z139" s="34"/>
      <c r="AA139" s="34"/>
      <c r="AB139" s="34"/>
      <c r="AC139" s="34"/>
      <c r="AD139" s="34"/>
      <c r="AE139" s="34"/>
      <c r="AF139" s="39">
        <v>147</v>
      </c>
      <c r="AG139" s="39">
        <f>12.3+12.3+12.3+12.3+12.3+12.3+12.3+29+15.2+9+7.7</f>
        <v>146.99999999999997</v>
      </c>
      <c r="AH139" s="126">
        <f t="shared" si="65"/>
        <v>3669</v>
      </c>
      <c r="AI139" s="126">
        <f t="shared" si="98"/>
        <v>3669</v>
      </c>
      <c r="AJ139" s="43"/>
      <c r="AK139" s="43"/>
      <c r="AL139" s="134"/>
      <c r="AM139" s="41"/>
      <c r="AN139" s="41"/>
      <c r="AO139" s="41"/>
      <c r="AP139" s="41"/>
      <c r="AQ139" s="41"/>
      <c r="AR139" s="39"/>
      <c r="AS139" s="39"/>
      <c r="AT139" s="43"/>
      <c r="AU139" s="43"/>
      <c r="AV139" s="43"/>
      <c r="AW139" s="43"/>
      <c r="AX139" s="43"/>
      <c r="AY139" s="43"/>
      <c r="AZ139" s="39">
        <f t="shared" si="67"/>
        <v>0</v>
      </c>
      <c r="BA139" s="39">
        <f t="shared" si="61"/>
        <v>0</v>
      </c>
      <c r="BB139" s="39">
        <v>0</v>
      </c>
      <c r="BC139" s="39">
        <v>0</v>
      </c>
      <c r="BD139" s="39">
        <v>357.5</v>
      </c>
      <c r="BE139" s="43">
        <v>339.458</v>
      </c>
      <c r="BF139" s="43"/>
      <c r="BG139" s="43"/>
      <c r="BH139" s="43"/>
      <c r="BI139" s="43"/>
      <c r="BJ139" s="43"/>
      <c r="BK139" s="43"/>
      <c r="BL139" s="43"/>
      <c r="BM139" s="43"/>
      <c r="BN139" s="45"/>
      <c r="BO139" s="45"/>
      <c r="BP139" s="45"/>
      <c r="BQ139" s="45"/>
      <c r="BR139" s="43"/>
      <c r="BS139" s="43"/>
      <c r="BT139" s="43"/>
      <c r="BU139" s="43"/>
      <c r="BV139" s="45"/>
      <c r="BW139" s="45"/>
      <c r="BX139" s="43"/>
      <c r="BY139" s="45"/>
      <c r="BZ139" s="43"/>
      <c r="CA139" s="45"/>
      <c r="CB139" s="45"/>
      <c r="CC139" s="45"/>
      <c r="CD139" s="45"/>
      <c r="CE139" s="45"/>
      <c r="CF139" s="39">
        <f t="shared" si="68"/>
        <v>357.5</v>
      </c>
      <c r="CG139" s="39">
        <f t="shared" si="99"/>
        <v>339.458</v>
      </c>
      <c r="CH139" s="39"/>
      <c r="CI139" s="39"/>
      <c r="CJ139" s="39"/>
      <c r="CK139" s="45"/>
      <c r="CL139" s="45"/>
      <c r="CM139" s="43"/>
      <c r="CN139" s="43"/>
      <c r="CO139" s="43"/>
      <c r="CP139" s="43"/>
      <c r="CQ139" s="39"/>
      <c r="CR139" s="43"/>
      <c r="CS139" s="45"/>
      <c r="CT139" s="45"/>
      <c r="CU139" s="45"/>
      <c r="CV139" s="45"/>
      <c r="CW139" s="43"/>
      <c r="CX139" s="43"/>
      <c r="CY139" s="43"/>
      <c r="CZ139" s="39"/>
      <c r="DA139" s="45"/>
      <c r="DB139" s="43"/>
      <c r="DC139" s="43"/>
      <c r="DD139" s="43"/>
      <c r="DE139" s="43"/>
      <c r="DF139" s="39">
        <f t="shared" si="70"/>
        <v>0</v>
      </c>
      <c r="DG139" s="39">
        <f t="shared" si="100"/>
        <v>0</v>
      </c>
      <c r="DH139" s="39"/>
      <c r="DI139" s="39"/>
      <c r="DJ139" s="39">
        <v>0</v>
      </c>
      <c r="DK139" s="39">
        <f t="shared" si="62"/>
        <v>0</v>
      </c>
      <c r="DL139" s="39"/>
      <c r="DM139" s="39"/>
      <c r="DN139" s="43"/>
      <c r="DO139" s="43"/>
      <c r="DP139" s="39">
        <f t="shared" si="72"/>
        <v>0</v>
      </c>
      <c r="DQ139" s="39">
        <f t="shared" si="63"/>
        <v>0</v>
      </c>
      <c r="DR139" s="39"/>
      <c r="DS139" s="39"/>
      <c r="DT139" s="43"/>
      <c r="DU139" s="43"/>
      <c r="DV139" s="43"/>
      <c r="DW139" s="43"/>
      <c r="DX139" s="43"/>
      <c r="DY139" s="43"/>
      <c r="DZ139" s="39"/>
      <c r="EA139" s="39"/>
      <c r="EB139" s="43"/>
      <c r="EC139" s="43"/>
      <c r="ED139" s="43"/>
      <c r="EE139" s="43"/>
      <c r="EF139" s="39"/>
      <c r="EG139" s="43"/>
      <c r="EH139" s="43">
        <v>256</v>
      </c>
      <c r="EI139" s="39">
        <v>256</v>
      </c>
      <c r="EJ139" s="39">
        <v>78</v>
      </c>
      <c r="EK139" s="43">
        <v>78</v>
      </c>
      <c r="EL139" s="43"/>
      <c r="EM139" s="43"/>
      <c r="EN139" s="45"/>
      <c r="EO139" s="45"/>
      <c r="EP139" s="43"/>
      <c r="EQ139" s="43"/>
      <c r="ER139" s="43"/>
      <c r="ES139" s="43"/>
      <c r="ET139" s="135"/>
      <c r="EU139" s="135"/>
      <c r="EV139" s="135"/>
      <c r="EW139" s="135"/>
      <c r="EX139" s="43"/>
      <c r="EY139" s="43"/>
      <c r="EZ139" s="43"/>
      <c r="FA139" s="43"/>
      <c r="FB139" s="37">
        <f t="shared" si="73"/>
        <v>334</v>
      </c>
      <c r="FC139" s="37">
        <f t="shared" si="101"/>
        <v>334</v>
      </c>
      <c r="FD139" s="39"/>
      <c r="FE139" s="39"/>
      <c r="FF139" s="43"/>
      <c r="FG139" s="43"/>
      <c r="FH139" s="132">
        <f t="shared" si="75"/>
        <v>0</v>
      </c>
      <c r="FI139" s="132">
        <f t="shared" si="64"/>
        <v>0</v>
      </c>
      <c r="FJ139" s="39"/>
      <c r="FK139" s="39"/>
      <c r="FL139" s="43"/>
      <c r="FM139" s="43"/>
      <c r="FN139" s="43"/>
      <c r="FO139" s="43"/>
      <c r="FP139" s="43"/>
      <c r="FQ139" s="43"/>
      <c r="FR139" s="39"/>
      <c r="FS139" s="135"/>
      <c r="FT139" s="43"/>
      <c r="FU139" s="43"/>
      <c r="FV139" s="43"/>
      <c r="FW139" s="43"/>
      <c r="FX139" s="43"/>
      <c r="FY139" s="43"/>
      <c r="FZ139" s="43"/>
      <c r="GA139" s="43"/>
      <c r="GB139" s="43"/>
      <c r="GC139" s="43"/>
      <c r="GD139" s="135"/>
      <c r="GE139" s="135"/>
      <c r="GF139" s="43"/>
      <c r="GG139" s="43"/>
      <c r="GH139" s="43"/>
      <c r="GI139" s="43"/>
      <c r="GJ139" s="43"/>
      <c r="GK139" s="43"/>
      <c r="GL139" s="43"/>
      <c r="GM139" s="43"/>
      <c r="GN139" s="43"/>
      <c r="GO139" s="43"/>
      <c r="GP139" s="43"/>
      <c r="GQ139" s="43"/>
      <c r="GR139" s="43"/>
      <c r="GS139" s="43"/>
      <c r="GT139" s="43"/>
      <c r="GU139" s="43"/>
      <c r="GV139" s="43"/>
      <c r="GW139" s="43"/>
      <c r="GX139" s="45"/>
      <c r="GY139" s="45"/>
      <c r="GZ139" s="43"/>
      <c r="HA139" s="43"/>
      <c r="HB139" s="43"/>
      <c r="HC139" s="43"/>
      <c r="HD139" s="39">
        <f t="shared" si="76"/>
        <v>0</v>
      </c>
      <c r="HE139" s="39">
        <f t="shared" si="102"/>
        <v>0</v>
      </c>
      <c r="HF139" s="39"/>
      <c r="HG139" s="39"/>
      <c r="HH139" s="39"/>
      <c r="HI139" s="43"/>
      <c r="HJ139" s="43"/>
      <c r="HK139" s="43"/>
      <c r="HL139" s="43"/>
      <c r="HM139" s="43"/>
      <c r="HN139" s="136"/>
      <c r="HO139" s="136"/>
      <c r="HP139" s="39">
        <f t="shared" si="78"/>
        <v>0</v>
      </c>
      <c r="HQ139" s="39">
        <f t="shared" si="103"/>
        <v>0</v>
      </c>
      <c r="HR139" s="39"/>
      <c r="HS139" s="39"/>
      <c r="HT139" s="39"/>
      <c r="HU139" s="43"/>
      <c r="HV139" s="39"/>
      <c r="HW139" s="39"/>
      <c r="HX139" s="39">
        <f t="shared" si="80"/>
        <v>0</v>
      </c>
      <c r="HY139" s="39">
        <f t="shared" si="104"/>
        <v>0</v>
      </c>
    </row>
    <row r="140" spans="1:233" ht="12.75" customHeight="1">
      <c r="A140" s="14" t="s">
        <v>283</v>
      </c>
      <c r="B140" s="39"/>
      <c r="C140" s="39"/>
      <c r="D140" s="39">
        <f>369+369+369+308+308+307+308+308+307+245.7+245.7+245.6</f>
        <v>3689.9999999999995</v>
      </c>
      <c r="E140" s="39">
        <f>369+369+369+308+308+307+308+308+307+245.7+245.7+245.6</f>
        <v>3689.9999999999995</v>
      </c>
      <c r="F140" s="39"/>
      <c r="G140" s="39"/>
      <c r="H140" s="34"/>
      <c r="I140" s="34"/>
      <c r="J140" s="34"/>
      <c r="K140" s="34"/>
      <c r="L140" s="34"/>
      <c r="M140" s="34"/>
      <c r="N140" s="34"/>
      <c r="O140" s="34"/>
      <c r="P140" s="34"/>
      <c r="Q140" s="34"/>
      <c r="R140" s="39">
        <v>130</v>
      </c>
      <c r="S140" s="39">
        <v>130</v>
      </c>
      <c r="T140" s="39">
        <v>41.12279</v>
      </c>
      <c r="U140" s="39">
        <v>41.12279</v>
      </c>
      <c r="V140" s="39"/>
      <c r="W140" s="34"/>
      <c r="X140" s="34"/>
      <c r="Y140" s="34"/>
      <c r="Z140" s="34"/>
      <c r="AA140" s="34"/>
      <c r="AB140" s="34"/>
      <c r="AC140" s="34"/>
      <c r="AD140" s="34"/>
      <c r="AE140" s="34"/>
      <c r="AF140" s="39">
        <v>147</v>
      </c>
      <c r="AG140" s="39">
        <f>12.3+12.3+12.3+12.3+12.3+11.7+11.7+16.7+28.9+8+8.5</f>
        <v>147</v>
      </c>
      <c r="AH140" s="126">
        <f t="shared" si="65"/>
        <v>4008.1227899999994</v>
      </c>
      <c r="AI140" s="126">
        <f t="shared" si="98"/>
        <v>4008.1227899999994</v>
      </c>
      <c r="AJ140" s="43"/>
      <c r="AK140" s="43"/>
      <c r="AL140" s="134"/>
      <c r="AM140" s="41"/>
      <c r="AN140" s="41"/>
      <c r="AO140" s="41"/>
      <c r="AP140" s="41"/>
      <c r="AQ140" s="41"/>
      <c r="AR140" s="39"/>
      <c r="AS140" s="39"/>
      <c r="AT140" s="43"/>
      <c r="AU140" s="43"/>
      <c r="AV140" s="43"/>
      <c r="AW140" s="43"/>
      <c r="AX140" s="43"/>
      <c r="AY140" s="43"/>
      <c r="AZ140" s="39">
        <f t="shared" si="67"/>
        <v>0</v>
      </c>
      <c r="BA140" s="39">
        <f t="shared" si="61"/>
        <v>0</v>
      </c>
      <c r="BB140" s="39">
        <v>0</v>
      </c>
      <c r="BC140" s="39">
        <v>0</v>
      </c>
      <c r="BD140" s="39">
        <v>196.2</v>
      </c>
      <c r="BE140" s="43">
        <v>195.426</v>
      </c>
      <c r="BF140" s="43"/>
      <c r="BG140" s="43"/>
      <c r="BH140" s="43"/>
      <c r="BI140" s="43"/>
      <c r="BJ140" s="43"/>
      <c r="BK140" s="43"/>
      <c r="BL140" s="43"/>
      <c r="BM140" s="43"/>
      <c r="BN140" s="45"/>
      <c r="BO140" s="45"/>
      <c r="BP140" s="45"/>
      <c r="BQ140" s="45"/>
      <c r="BR140" s="43"/>
      <c r="BS140" s="43"/>
      <c r="BT140" s="43"/>
      <c r="BU140" s="43"/>
      <c r="BV140" s="45"/>
      <c r="BW140" s="45"/>
      <c r="BX140" s="43"/>
      <c r="BY140" s="45"/>
      <c r="BZ140" s="43"/>
      <c r="CA140" s="45"/>
      <c r="CB140" s="45"/>
      <c r="CC140" s="45"/>
      <c r="CD140" s="45"/>
      <c r="CE140" s="45"/>
      <c r="CF140" s="39">
        <f t="shared" si="68"/>
        <v>196.2</v>
      </c>
      <c r="CG140" s="39">
        <f t="shared" si="99"/>
        <v>195.426</v>
      </c>
      <c r="CH140" s="39"/>
      <c r="CI140" s="39"/>
      <c r="CJ140" s="39"/>
      <c r="CK140" s="45"/>
      <c r="CL140" s="45"/>
      <c r="CM140" s="43"/>
      <c r="CN140" s="43"/>
      <c r="CO140" s="43"/>
      <c r="CP140" s="43"/>
      <c r="CQ140" s="39"/>
      <c r="CR140" s="43"/>
      <c r="CS140" s="45"/>
      <c r="CT140" s="45"/>
      <c r="CU140" s="45"/>
      <c r="CV140" s="45"/>
      <c r="CW140" s="43"/>
      <c r="CX140" s="43"/>
      <c r="CY140" s="43"/>
      <c r="CZ140" s="39"/>
      <c r="DA140" s="45"/>
      <c r="DB140" s="43"/>
      <c r="DC140" s="43"/>
      <c r="DD140" s="43"/>
      <c r="DE140" s="43"/>
      <c r="DF140" s="39">
        <f t="shared" si="70"/>
        <v>0</v>
      </c>
      <c r="DG140" s="39">
        <f t="shared" si="100"/>
        <v>0</v>
      </c>
      <c r="DH140" s="39"/>
      <c r="DI140" s="39"/>
      <c r="DJ140" s="39">
        <v>0</v>
      </c>
      <c r="DK140" s="39">
        <f t="shared" si="62"/>
        <v>0</v>
      </c>
      <c r="DL140" s="39"/>
      <c r="DM140" s="39"/>
      <c r="DN140" s="43"/>
      <c r="DO140" s="43"/>
      <c r="DP140" s="39">
        <f t="shared" si="72"/>
        <v>0</v>
      </c>
      <c r="DQ140" s="39">
        <f t="shared" si="63"/>
        <v>0</v>
      </c>
      <c r="DR140" s="39"/>
      <c r="DS140" s="39"/>
      <c r="DT140" s="43"/>
      <c r="DU140" s="43"/>
      <c r="DV140" s="43"/>
      <c r="DW140" s="43"/>
      <c r="DX140" s="43"/>
      <c r="DY140" s="43"/>
      <c r="DZ140" s="39"/>
      <c r="EA140" s="39"/>
      <c r="EB140" s="43"/>
      <c r="EC140" s="43"/>
      <c r="ED140" s="43"/>
      <c r="EE140" s="43"/>
      <c r="EF140" s="39">
        <v>297</v>
      </c>
      <c r="EG140" s="43">
        <v>297</v>
      </c>
      <c r="EH140" s="43">
        <v>684</v>
      </c>
      <c r="EI140" s="39">
        <v>684</v>
      </c>
      <c r="EJ140" s="39">
        <v>39</v>
      </c>
      <c r="EK140" s="43">
        <v>29</v>
      </c>
      <c r="EL140" s="43"/>
      <c r="EM140" s="43"/>
      <c r="EN140" s="45"/>
      <c r="EO140" s="45"/>
      <c r="EP140" s="43"/>
      <c r="EQ140" s="43"/>
      <c r="ER140" s="43"/>
      <c r="ES140" s="43"/>
      <c r="ET140" s="135"/>
      <c r="EU140" s="135"/>
      <c r="EV140" s="135"/>
      <c r="EW140" s="135"/>
      <c r="EX140" s="43"/>
      <c r="EY140" s="43"/>
      <c r="EZ140" s="43"/>
      <c r="FA140" s="43"/>
      <c r="FB140" s="37">
        <f t="shared" si="73"/>
        <v>1020</v>
      </c>
      <c r="FC140" s="37">
        <f t="shared" si="101"/>
        <v>1010</v>
      </c>
      <c r="FD140" s="39"/>
      <c r="FE140" s="39"/>
      <c r="FF140" s="43"/>
      <c r="FG140" s="43"/>
      <c r="FH140" s="132">
        <f t="shared" si="75"/>
        <v>0</v>
      </c>
      <c r="FI140" s="132">
        <f t="shared" si="64"/>
        <v>0</v>
      </c>
      <c r="FJ140" s="39"/>
      <c r="FK140" s="39"/>
      <c r="FL140" s="43"/>
      <c r="FM140" s="43"/>
      <c r="FN140" s="43"/>
      <c r="FO140" s="43"/>
      <c r="FP140" s="43"/>
      <c r="FQ140" s="43"/>
      <c r="FR140" s="39"/>
      <c r="FS140" s="135"/>
      <c r="FT140" s="43"/>
      <c r="FU140" s="43"/>
      <c r="FV140" s="43"/>
      <c r="FW140" s="43"/>
      <c r="FX140" s="43"/>
      <c r="FY140" s="43"/>
      <c r="FZ140" s="43"/>
      <c r="GA140" s="43"/>
      <c r="GB140" s="43"/>
      <c r="GC140" s="43"/>
      <c r="GD140" s="135"/>
      <c r="GE140" s="135"/>
      <c r="GF140" s="43"/>
      <c r="GG140" s="43"/>
      <c r="GH140" s="43"/>
      <c r="GI140" s="43"/>
      <c r="GJ140" s="43"/>
      <c r="GK140" s="43"/>
      <c r="GL140" s="43"/>
      <c r="GM140" s="43"/>
      <c r="GN140" s="43"/>
      <c r="GO140" s="43"/>
      <c r="GP140" s="43"/>
      <c r="GQ140" s="43"/>
      <c r="GR140" s="43"/>
      <c r="GS140" s="43"/>
      <c r="GT140" s="43"/>
      <c r="GU140" s="43"/>
      <c r="GV140" s="43"/>
      <c r="GW140" s="43"/>
      <c r="GX140" s="45"/>
      <c r="GY140" s="45"/>
      <c r="GZ140" s="43"/>
      <c r="HA140" s="43"/>
      <c r="HB140" s="43"/>
      <c r="HC140" s="43"/>
      <c r="HD140" s="39">
        <f t="shared" si="76"/>
        <v>0</v>
      </c>
      <c r="HE140" s="39">
        <f t="shared" si="102"/>
        <v>0</v>
      </c>
      <c r="HF140" s="39"/>
      <c r="HG140" s="39"/>
      <c r="HH140" s="39"/>
      <c r="HI140" s="43"/>
      <c r="HJ140" s="43"/>
      <c r="HK140" s="43"/>
      <c r="HL140" s="43"/>
      <c r="HM140" s="43"/>
      <c r="HN140" s="136"/>
      <c r="HO140" s="136"/>
      <c r="HP140" s="39">
        <f t="shared" si="78"/>
        <v>0</v>
      </c>
      <c r="HQ140" s="39">
        <f t="shared" si="103"/>
        <v>0</v>
      </c>
      <c r="HR140" s="39"/>
      <c r="HS140" s="39"/>
      <c r="HT140" s="39"/>
      <c r="HU140" s="43"/>
      <c r="HV140" s="39"/>
      <c r="HW140" s="39"/>
      <c r="HX140" s="39">
        <f t="shared" si="80"/>
        <v>0</v>
      </c>
      <c r="HY140" s="39">
        <f t="shared" si="104"/>
        <v>0</v>
      </c>
    </row>
    <row r="141" spans="1:233" ht="12.75">
      <c r="A141" s="14" t="s">
        <v>284</v>
      </c>
      <c r="B141" s="39"/>
      <c r="C141" s="39"/>
      <c r="D141" s="39">
        <f>272+272+273+227+227+226+227+227+226+181.7+181.7+181.6</f>
        <v>2721.9999999999995</v>
      </c>
      <c r="E141" s="39">
        <f>272+272+273+227+227+226+227+227+226+181.7+181.7+181.6</f>
        <v>2721.9999999999995</v>
      </c>
      <c r="F141" s="39"/>
      <c r="G141" s="39"/>
      <c r="H141" s="34"/>
      <c r="I141" s="34"/>
      <c r="J141" s="34"/>
      <c r="K141" s="34"/>
      <c r="L141" s="34"/>
      <c r="M141" s="34"/>
      <c r="N141" s="34"/>
      <c r="O141" s="34"/>
      <c r="P141" s="34"/>
      <c r="Q141" s="34"/>
      <c r="R141" s="39">
        <v>20</v>
      </c>
      <c r="S141" s="39">
        <f>17.29198</f>
        <v>17.29198</v>
      </c>
      <c r="T141" s="39">
        <v>0</v>
      </c>
      <c r="U141" s="39"/>
      <c r="V141" s="39">
        <v>187.6</v>
      </c>
      <c r="W141" s="34">
        <f>130.6+25+32</f>
        <v>187.6</v>
      </c>
      <c r="X141" s="34"/>
      <c r="Y141" s="34"/>
      <c r="Z141" s="34"/>
      <c r="AA141" s="34"/>
      <c r="AB141" s="34"/>
      <c r="AC141" s="34"/>
      <c r="AD141" s="34"/>
      <c r="AE141" s="34"/>
      <c r="AF141" s="39">
        <v>147</v>
      </c>
      <c r="AG141" s="39">
        <f>12.3+12.3+12.3+12.3+12.3+8.3+15.9+18.6+12.3+13+17.4</f>
        <v>147.00000000000003</v>
      </c>
      <c r="AH141" s="126">
        <f t="shared" si="65"/>
        <v>3076.5999999999995</v>
      </c>
      <c r="AI141" s="126">
        <f t="shared" si="98"/>
        <v>3073.8919799999994</v>
      </c>
      <c r="AJ141" s="43"/>
      <c r="AK141" s="43"/>
      <c r="AL141" s="134"/>
      <c r="AM141" s="41"/>
      <c r="AN141" s="41"/>
      <c r="AO141" s="41"/>
      <c r="AP141" s="41"/>
      <c r="AQ141" s="41"/>
      <c r="AR141" s="39"/>
      <c r="AS141" s="39"/>
      <c r="AT141" s="43"/>
      <c r="AU141" s="43"/>
      <c r="AV141" s="43"/>
      <c r="AW141" s="43"/>
      <c r="AX141" s="43"/>
      <c r="AY141" s="43"/>
      <c r="AZ141" s="39">
        <f t="shared" si="67"/>
        <v>0</v>
      </c>
      <c r="BA141" s="39">
        <f t="shared" si="61"/>
        <v>0</v>
      </c>
      <c r="BB141" s="39">
        <v>0</v>
      </c>
      <c r="BC141" s="39">
        <v>0</v>
      </c>
      <c r="BD141" s="39">
        <v>75.1</v>
      </c>
      <c r="BE141" s="43">
        <v>75.094</v>
      </c>
      <c r="BF141" s="43"/>
      <c r="BG141" s="43"/>
      <c r="BH141" s="43"/>
      <c r="BI141" s="43"/>
      <c r="BJ141" s="43"/>
      <c r="BK141" s="43"/>
      <c r="BL141" s="43"/>
      <c r="BM141" s="43"/>
      <c r="BN141" s="45"/>
      <c r="BO141" s="45"/>
      <c r="BP141" s="45"/>
      <c r="BQ141" s="45"/>
      <c r="BR141" s="43"/>
      <c r="BS141" s="43"/>
      <c r="BT141" s="43"/>
      <c r="BU141" s="43"/>
      <c r="BV141" s="45"/>
      <c r="BW141" s="45"/>
      <c r="BX141" s="43"/>
      <c r="BY141" s="45"/>
      <c r="BZ141" s="43"/>
      <c r="CA141" s="45"/>
      <c r="CB141" s="45"/>
      <c r="CC141" s="45"/>
      <c r="CD141" s="45"/>
      <c r="CE141" s="45"/>
      <c r="CF141" s="39">
        <f t="shared" si="68"/>
        <v>75.1</v>
      </c>
      <c r="CG141" s="39">
        <f t="shared" si="99"/>
        <v>75.094</v>
      </c>
      <c r="CH141" s="39"/>
      <c r="CI141" s="39"/>
      <c r="CJ141" s="39"/>
      <c r="CK141" s="45"/>
      <c r="CL141" s="45"/>
      <c r="CM141" s="43"/>
      <c r="CN141" s="43"/>
      <c r="CO141" s="43"/>
      <c r="CP141" s="43"/>
      <c r="CQ141" s="39"/>
      <c r="CR141" s="43"/>
      <c r="CS141" s="45"/>
      <c r="CT141" s="45"/>
      <c r="CU141" s="45"/>
      <c r="CV141" s="45"/>
      <c r="CW141" s="43"/>
      <c r="CX141" s="43"/>
      <c r="CY141" s="43"/>
      <c r="CZ141" s="39"/>
      <c r="DA141" s="45"/>
      <c r="DB141" s="43"/>
      <c r="DC141" s="43"/>
      <c r="DD141" s="43"/>
      <c r="DE141" s="43"/>
      <c r="DF141" s="39">
        <f t="shared" si="70"/>
        <v>0</v>
      </c>
      <c r="DG141" s="39">
        <f t="shared" si="100"/>
        <v>0</v>
      </c>
      <c r="DH141" s="39"/>
      <c r="DI141" s="39"/>
      <c r="DJ141" s="39">
        <v>0</v>
      </c>
      <c r="DK141" s="39">
        <f t="shared" si="62"/>
        <v>0</v>
      </c>
      <c r="DL141" s="39"/>
      <c r="DM141" s="39"/>
      <c r="DN141" s="43"/>
      <c r="DO141" s="43"/>
      <c r="DP141" s="39">
        <f t="shared" si="72"/>
        <v>0</v>
      </c>
      <c r="DQ141" s="39">
        <f t="shared" si="63"/>
        <v>0</v>
      </c>
      <c r="DR141" s="39"/>
      <c r="DS141" s="39"/>
      <c r="DT141" s="43"/>
      <c r="DU141" s="43"/>
      <c r="DV141" s="43"/>
      <c r="DW141" s="43"/>
      <c r="DX141" s="43"/>
      <c r="DY141" s="43"/>
      <c r="DZ141" s="39"/>
      <c r="EA141" s="39"/>
      <c r="EB141" s="43"/>
      <c r="EC141" s="43"/>
      <c r="ED141" s="43"/>
      <c r="EE141" s="43"/>
      <c r="EF141" s="39"/>
      <c r="EG141" s="43"/>
      <c r="EH141" s="43"/>
      <c r="EI141" s="45"/>
      <c r="EJ141" s="39">
        <v>0</v>
      </c>
      <c r="EK141" s="43">
        <v>0</v>
      </c>
      <c r="EL141" s="43"/>
      <c r="EM141" s="43"/>
      <c r="EN141" s="45"/>
      <c r="EO141" s="45"/>
      <c r="EP141" s="43"/>
      <c r="EQ141" s="43"/>
      <c r="ER141" s="43"/>
      <c r="ES141" s="43"/>
      <c r="ET141" s="135"/>
      <c r="EU141" s="135"/>
      <c r="EV141" s="135"/>
      <c r="EW141" s="135"/>
      <c r="EX141" s="43"/>
      <c r="EY141" s="43"/>
      <c r="EZ141" s="43"/>
      <c r="FA141" s="43"/>
      <c r="FB141" s="37">
        <f t="shared" si="73"/>
        <v>0</v>
      </c>
      <c r="FC141" s="37">
        <f t="shared" si="101"/>
        <v>0</v>
      </c>
      <c r="FD141" s="39"/>
      <c r="FE141" s="39"/>
      <c r="FF141" s="43"/>
      <c r="FG141" s="43"/>
      <c r="FH141" s="132">
        <f t="shared" si="75"/>
        <v>0</v>
      </c>
      <c r="FI141" s="132">
        <f t="shared" si="64"/>
        <v>0</v>
      </c>
      <c r="FJ141" s="39"/>
      <c r="FK141" s="39"/>
      <c r="FL141" s="43"/>
      <c r="FM141" s="43"/>
      <c r="FN141" s="43"/>
      <c r="FO141" s="43"/>
      <c r="FP141" s="43"/>
      <c r="FQ141" s="43"/>
      <c r="FR141" s="39"/>
      <c r="FS141" s="135"/>
      <c r="FT141" s="43"/>
      <c r="FU141" s="43"/>
      <c r="FV141" s="43"/>
      <c r="FW141" s="43"/>
      <c r="FX141" s="43"/>
      <c r="FY141" s="43"/>
      <c r="FZ141" s="43"/>
      <c r="GA141" s="43"/>
      <c r="GB141" s="43"/>
      <c r="GC141" s="43"/>
      <c r="GD141" s="135"/>
      <c r="GE141" s="135"/>
      <c r="GF141" s="43"/>
      <c r="GG141" s="43"/>
      <c r="GH141" s="43"/>
      <c r="GI141" s="43"/>
      <c r="GJ141" s="43"/>
      <c r="GK141" s="43"/>
      <c r="GL141" s="43"/>
      <c r="GM141" s="43"/>
      <c r="GN141" s="43"/>
      <c r="GO141" s="43"/>
      <c r="GP141" s="43"/>
      <c r="GQ141" s="43"/>
      <c r="GR141" s="43"/>
      <c r="GS141" s="43"/>
      <c r="GT141" s="43"/>
      <c r="GU141" s="43"/>
      <c r="GV141" s="43"/>
      <c r="GW141" s="43"/>
      <c r="GX141" s="45"/>
      <c r="GY141" s="45"/>
      <c r="GZ141" s="43"/>
      <c r="HA141" s="43"/>
      <c r="HB141" s="43"/>
      <c r="HC141" s="43"/>
      <c r="HD141" s="39">
        <f t="shared" si="76"/>
        <v>0</v>
      </c>
      <c r="HE141" s="39">
        <f t="shared" si="102"/>
        <v>0</v>
      </c>
      <c r="HF141" s="39"/>
      <c r="HG141" s="39"/>
      <c r="HH141" s="39"/>
      <c r="HI141" s="43"/>
      <c r="HJ141" s="43"/>
      <c r="HK141" s="43"/>
      <c r="HL141" s="43"/>
      <c r="HM141" s="43"/>
      <c r="HN141" s="136"/>
      <c r="HO141" s="136"/>
      <c r="HP141" s="39">
        <f t="shared" si="78"/>
        <v>0</v>
      </c>
      <c r="HQ141" s="39">
        <f t="shared" si="103"/>
        <v>0</v>
      </c>
      <c r="HR141" s="39"/>
      <c r="HS141" s="39"/>
      <c r="HT141" s="39"/>
      <c r="HU141" s="43"/>
      <c r="HV141" s="39"/>
      <c r="HW141" s="39"/>
      <c r="HX141" s="39">
        <f t="shared" si="80"/>
        <v>0</v>
      </c>
      <c r="HY141" s="39">
        <f t="shared" si="104"/>
        <v>0</v>
      </c>
    </row>
    <row r="142" spans="1:233" ht="12.75" customHeight="1">
      <c r="A142" s="14" t="s">
        <v>285</v>
      </c>
      <c r="B142" s="39"/>
      <c r="C142" s="39"/>
      <c r="D142" s="39">
        <f>409+409+410+341+341+342+341+341+342+273+273+273</f>
        <v>4095</v>
      </c>
      <c r="E142" s="39">
        <f>409+409+410+341+341+342+341+341+342+273+273+273</f>
        <v>4095</v>
      </c>
      <c r="F142" s="39"/>
      <c r="G142" s="39"/>
      <c r="H142" s="34"/>
      <c r="I142" s="34"/>
      <c r="J142" s="34"/>
      <c r="K142" s="34"/>
      <c r="L142" s="34"/>
      <c r="M142" s="34"/>
      <c r="N142" s="34"/>
      <c r="O142" s="34"/>
      <c r="P142" s="34"/>
      <c r="Q142" s="34"/>
      <c r="R142" s="39">
        <v>150</v>
      </c>
      <c r="S142" s="39">
        <f>100.71143</f>
        <v>100.71143</v>
      </c>
      <c r="T142" s="39">
        <v>3532.57677</v>
      </c>
      <c r="U142" s="39">
        <f>50.62677+2601.539+880.411</f>
        <v>3532.57677</v>
      </c>
      <c r="V142" s="39"/>
      <c r="W142" s="34"/>
      <c r="X142" s="34"/>
      <c r="Y142" s="34"/>
      <c r="Z142" s="34"/>
      <c r="AA142" s="34"/>
      <c r="AB142" s="34"/>
      <c r="AC142" s="34"/>
      <c r="AD142" s="34"/>
      <c r="AE142" s="34"/>
      <c r="AF142" s="39">
        <v>147</v>
      </c>
      <c r="AG142" s="39">
        <f>12.3+12.3+12.3+12.3+12.3+12.3+23+12+13+22.99+2.21</f>
        <v>147</v>
      </c>
      <c r="AH142" s="126">
        <f t="shared" si="65"/>
        <v>7924.57677</v>
      </c>
      <c r="AI142" s="126">
        <f t="shared" si="98"/>
        <v>7875.288200000001</v>
      </c>
      <c r="AJ142" s="43"/>
      <c r="AK142" s="43"/>
      <c r="AL142" s="134"/>
      <c r="AM142" s="41"/>
      <c r="AN142" s="41"/>
      <c r="AO142" s="41"/>
      <c r="AP142" s="41"/>
      <c r="AQ142" s="41"/>
      <c r="AR142" s="39"/>
      <c r="AS142" s="39"/>
      <c r="AT142" s="43"/>
      <c r="AU142" s="43"/>
      <c r="AV142" s="43"/>
      <c r="AW142" s="43"/>
      <c r="AX142" s="43"/>
      <c r="AY142" s="43"/>
      <c r="AZ142" s="39">
        <f t="shared" si="67"/>
        <v>0</v>
      </c>
      <c r="BA142" s="39">
        <f aca="true" t="shared" si="117" ref="BA142:BA156">AK142+AM142+AO142+AQ142+AS142+AU142+AW142+AY142</f>
        <v>0</v>
      </c>
      <c r="BB142" s="39">
        <v>0</v>
      </c>
      <c r="BC142" s="39">
        <v>0</v>
      </c>
      <c r="BD142" s="39">
        <v>259.5</v>
      </c>
      <c r="BE142" s="43">
        <v>259.5</v>
      </c>
      <c r="BF142" s="43"/>
      <c r="BG142" s="43"/>
      <c r="BH142" s="43"/>
      <c r="BI142" s="43"/>
      <c r="BJ142" s="43"/>
      <c r="BK142" s="43"/>
      <c r="BL142" s="43"/>
      <c r="BM142" s="43"/>
      <c r="BN142" s="45"/>
      <c r="BO142" s="45"/>
      <c r="BP142" s="45"/>
      <c r="BQ142" s="45"/>
      <c r="BR142" s="43"/>
      <c r="BS142" s="43"/>
      <c r="BT142" s="43"/>
      <c r="BU142" s="43"/>
      <c r="BV142" s="45"/>
      <c r="BW142" s="45"/>
      <c r="BX142" s="43"/>
      <c r="BY142" s="45"/>
      <c r="BZ142" s="43"/>
      <c r="CA142" s="45"/>
      <c r="CB142" s="45"/>
      <c r="CC142" s="45"/>
      <c r="CD142" s="45"/>
      <c r="CE142" s="45"/>
      <c r="CF142" s="39">
        <f t="shared" si="68"/>
        <v>259.5</v>
      </c>
      <c r="CG142" s="39">
        <f t="shared" si="99"/>
        <v>259.5</v>
      </c>
      <c r="CH142" s="39"/>
      <c r="CI142" s="39"/>
      <c r="CJ142" s="39"/>
      <c r="CK142" s="45"/>
      <c r="CL142" s="45"/>
      <c r="CM142" s="43"/>
      <c r="CN142" s="43"/>
      <c r="CO142" s="43"/>
      <c r="CP142" s="43"/>
      <c r="CQ142" s="39"/>
      <c r="CR142" s="43"/>
      <c r="CS142" s="45"/>
      <c r="CT142" s="45"/>
      <c r="CU142" s="45"/>
      <c r="CV142" s="45"/>
      <c r="CW142" s="43"/>
      <c r="CX142" s="43"/>
      <c r="CY142" s="43"/>
      <c r="CZ142" s="39"/>
      <c r="DA142" s="45"/>
      <c r="DB142" s="43"/>
      <c r="DC142" s="43"/>
      <c r="DD142" s="43"/>
      <c r="DE142" s="43"/>
      <c r="DF142" s="39">
        <f t="shared" si="70"/>
        <v>0</v>
      </c>
      <c r="DG142" s="39">
        <f t="shared" si="100"/>
        <v>0</v>
      </c>
      <c r="DH142" s="39"/>
      <c r="DI142" s="39"/>
      <c r="DJ142" s="39">
        <v>0</v>
      </c>
      <c r="DK142" s="39">
        <f aca="true" t="shared" si="118" ref="DK142:DK156">DI142</f>
        <v>0</v>
      </c>
      <c r="DL142" s="39"/>
      <c r="DM142" s="39"/>
      <c r="DN142" s="43"/>
      <c r="DO142" s="43"/>
      <c r="DP142" s="39">
        <f t="shared" si="72"/>
        <v>0</v>
      </c>
      <c r="DQ142" s="39">
        <f aca="true" t="shared" si="119" ref="DQ142:DQ156">DM142+DO142</f>
        <v>0</v>
      </c>
      <c r="DR142" s="39"/>
      <c r="DS142" s="39"/>
      <c r="DT142" s="43"/>
      <c r="DU142" s="43"/>
      <c r="DV142" s="43"/>
      <c r="DW142" s="43"/>
      <c r="DX142" s="43"/>
      <c r="DY142" s="43"/>
      <c r="DZ142" s="39"/>
      <c r="EA142" s="39"/>
      <c r="EB142" s="43"/>
      <c r="EC142" s="43"/>
      <c r="ED142" s="43"/>
      <c r="EE142" s="43"/>
      <c r="EF142" s="39"/>
      <c r="EG142" s="43"/>
      <c r="EH142" s="43"/>
      <c r="EI142" s="45"/>
      <c r="EJ142" s="39">
        <v>0</v>
      </c>
      <c r="EK142" s="43">
        <v>0</v>
      </c>
      <c r="EL142" s="43"/>
      <c r="EM142" s="43"/>
      <c r="EN142" s="45"/>
      <c r="EO142" s="45"/>
      <c r="EP142" s="43"/>
      <c r="EQ142" s="43"/>
      <c r="ER142" s="43"/>
      <c r="ES142" s="43"/>
      <c r="ET142" s="135"/>
      <c r="EU142" s="135"/>
      <c r="EV142" s="135"/>
      <c r="EW142" s="135"/>
      <c r="EX142" s="43"/>
      <c r="EY142" s="43"/>
      <c r="EZ142" s="43"/>
      <c r="FA142" s="43"/>
      <c r="FB142" s="37">
        <f t="shared" si="73"/>
        <v>0</v>
      </c>
      <c r="FC142" s="37">
        <f t="shared" si="101"/>
        <v>0</v>
      </c>
      <c r="FD142" s="39"/>
      <c r="FE142" s="39"/>
      <c r="FF142" s="43"/>
      <c r="FG142" s="43"/>
      <c r="FH142" s="132">
        <f t="shared" si="75"/>
        <v>0</v>
      </c>
      <c r="FI142" s="132">
        <f aca="true" t="shared" si="120" ref="FI142:FI156">FE142+FG142</f>
        <v>0</v>
      </c>
      <c r="FJ142" s="39"/>
      <c r="FK142" s="39"/>
      <c r="FL142" s="43"/>
      <c r="FM142" s="43"/>
      <c r="FN142" s="43"/>
      <c r="FO142" s="43"/>
      <c r="FP142" s="43"/>
      <c r="FQ142" s="43"/>
      <c r="FR142" s="39"/>
      <c r="FS142" s="135"/>
      <c r="FT142" s="43"/>
      <c r="FU142" s="43"/>
      <c r="FV142" s="43"/>
      <c r="FW142" s="43"/>
      <c r="FX142" s="43"/>
      <c r="FY142" s="43"/>
      <c r="FZ142" s="43"/>
      <c r="GA142" s="43"/>
      <c r="GB142" s="43"/>
      <c r="GC142" s="43"/>
      <c r="GD142" s="135"/>
      <c r="GE142" s="135"/>
      <c r="GF142" s="43"/>
      <c r="GG142" s="43"/>
      <c r="GH142" s="43"/>
      <c r="GI142" s="43"/>
      <c r="GJ142" s="43"/>
      <c r="GK142" s="43"/>
      <c r="GL142" s="43"/>
      <c r="GM142" s="43"/>
      <c r="GN142" s="43"/>
      <c r="GO142" s="43"/>
      <c r="GP142" s="43"/>
      <c r="GQ142" s="43"/>
      <c r="GR142" s="43"/>
      <c r="GS142" s="43"/>
      <c r="GT142" s="43"/>
      <c r="GU142" s="43"/>
      <c r="GV142" s="43"/>
      <c r="GW142" s="43"/>
      <c r="GX142" s="45"/>
      <c r="GY142" s="45"/>
      <c r="GZ142" s="43"/>
      <c r="HA142" s="43"/>
      <c r="HB142" s="43"/>
      <c r="HC142" s="43"/>
      <c r="HD142" s="39">
        <f t="shared" si="76"/>
        <v>0</v>
      </c>
      <c r="HE142" s="39">
        <f t="shared" si="102"/>
        <v>0</v>
      </c>
      <c r="HF142" s="39"/>
      <c r="HG142" s="39"/>
      <c r="HH142" s="39"/>
      <c r="HI142" s="43"/>
      <c r="HJ142" s="43"/>
      <c r="HK142" s="43"/>
      <c r="HL142" s="43"/>
      <c r="HM142" s="43"/>
      <c r="HN142" s="136"/>
      <c r="HO142" s="136"/>
      <c r="HP142" s="39">
        <f t="shared" si="78"/>
        <v>0</v>
      </c>
      <c r="HQ142" s="39">
        <f t="shared" si="103"/>
        <v>0</v>
      </c>
      <c r="HR142" s="39"/>
      <c r="HS142" s="39"/>
      <c r="HT142" s="39"/>
      <c r="HU142" s="43"/>
      <c r="HV142" s="39"/>
      <c r="HW142" s="39"/>
      <c r="HX142" s="39">
        <f t="shared" si="80"/>
        <v>0</v>
      </c>
      <c r="HY142" s="39">
        <f t="shared" si="104"/>
        <v>0</v>
      </c>
    </row>
    <row r="143" spans="1:233" ht="12.75">
      <c r="A143" s="14" t="s">
        <v>286</v>
      </c>
      <c r="B143" s="39"/>
      <c r="C143" s="39"/>
      <c r="D143" s="39">
        <f>315+315+315+263+263+262+263+263+262+210+210+210</f>
        <v>3151</v>
      </c>
      <c r="E143" s="39">
        <f>315+315+315+263+263+262+263+263+262+210+210+210</f>
        <v>3151</v>
      </c>
      <c r="F143" s="39"/>
      <c r="G143" s="39"/>
      <c r="H143" s="34"/>
      <c r="I143" s="34"/>
      <c r="J143" s="34"/>
      <c r="K143" s="34"/>
      <c r="L143" s="34"/>
      <c r="M143" s="34"/>
      <c r="N143" s="34"/>
      <c r="O143" s="34"/>
      <c r="P143" s="34"/>
      <c r="Q143" s="34"/>
      <c r="R143" s="39">
        <v>240</v>
      </c>
      <c r="S143" s="39">
        <f>160.07234</f>
        <v>160.07234</v>
      </c>
      <c r="T143" s="39">
        <v>2765.54387</v>
      </c>
      <c r="U143" s="39">
        <f>80.95387+693.699+1886.666+104.225</f>
        <v>2765.54387</v>
      </c>
      <c r="V143" s="39"/>
      <c r="W143" s="34"/>
      <c r="X143" s="34"/>
      <c r="Y143" s="34"/>
      <c r="Z143" s="34"/>
      <c r="AA143" s="34"/>
      <c r="AB143" s="34"/>
      <c r="AC143" s="34"/>
      <c r="AD143" s="34"/>
      <c r="AE143" s="34"/>
      <c r="AF143" s="39">
        <v>147</v>
      </c>
      <c r="AG143" s="39">
        <f>12.3+12.3+12.3+12.3+12.3+24.6+12.3+12.3+12.3+12+12</f>
        <v>147</v>
      </c>
      <c r="AH143" s="126">
        <f aca="true" t="shared" si="121" ref="AH143:AH156">B143+D143+F143+H143+J143+L143+N143+P143+R143+T143+V143+X143+Z143+AB143+AD143+AF143</f>
        <v>6303.5438699999995</v>
      </c>
      <c r="AI143" s="126">
        <f aca="true" t="shared" si="122" ref="AI143:AI156">C143+E143+G143+I143+K143+M143+O143+Q143+S143+U143+W143+Y143+AA143+AC143+AE143+AG143</f>
        <v>6223.61621</v>
      </c>
      <c r="AJ143" s="43"/>
      <c r="AK143" s="43"/>
      <c r="AL143" s="134"/>
      <c r="AM143" s="41"/>
      <c r="AN143" s="41"/>
      <c r="AO143" s="41"/>
      <c r="AP143" s="41"/>
      <c r="AQ143" s="41"/>
      <c r="AR143" s="39"/>
      <c r="AS143" s="39"/>
      <c r="AT143" s="43"/>
      <c r="AU143" s="43"/>
      <c r="AV143" s="43"/>
      <c r="AW143" s="43"/>
      <c r="AX143" s="43"/>
      <c r="AY143" s="43"/>
      <c r="AZ143" s="39">
        <f aca="true" t="shared" si="123" ref="AZ143:AZ156">AJ143+AL143+AN143+AP143+AR143+AT143+AV143+AX143</f>
        <v>0</v>
      </c>
      <c r="BA143" s="39">
        <f t="shared" si="117"/>
        <v>0</v>
      </c>
      <c r="BB143" s="39">
        <v>0</v>
      </c>
      <c r="BC143" s="39">
        <v>0</v>
      </c>
      <c r="BD143" s="39">
        <v>85.1</v>
      </c>
      <c r="BE143" s="43">
        <v>85.096</v>
      </c>
      <c r="BF143" s="43"/>
      <c r="BG143" s="43"/>
      <c r="BH143" s="43"/>
      <c r="BI143" s="43"/>
      <c r="BJ143" s="43"/>
      <c r="BK143" s="43"/>
      <c r="BL143" s="43"/>
      <c r="BM143" s="43"/>
      <c r="BN143" s="45"/>
      <c r="BO143" s="45"/>
      <c r="BP143" s="45"/>
      <c r="BQ143" s="45"/>
      <c r="BR143" s="43"/>
      <c r="BS143" s="43"/>
      <c r="BT143" s="43"/>
      <c r="BU143" s="43"/>
      <c r="BV143" s="45"/>
      <c r="BW143" s="45"/>
      <c r="BX143" s="43"/>
      <c r="BY143" s="45"/>
      <c r="BZ143" s="43"/>
      <c r="CA143" s="45"/>
      <c r="CB143" s="45"/>
      <c r="CC143" s="45"/>
      <c r="CD143" s="45"/>
      <c r="CE143" s="45"/>
      <c r="CF143" s="39">
        <f aca="true" t="shared" si="124" ref="CF143:CF156">BD143+BF143+BH143+BJ143+BL143+BN143+BP143+BR143+BT143+BV143+BX143+CB143+CD143+BZ143</f>
        <v>85.1</v>
      </c>
      <c r="CG143" s="39">
        <f aca="true" t="shared" si="125" ref="CG143:CG156">BE143+BG143+BI143+BK143+BM143+BO143+BQ143+BS143+BU143+BW143+BY143+CC143+CE143+CA143</f>
        <v>85.096</v>
      </c>
      <c r="CH143" s="39"/>
      <c r="CI143" s="39"/>
      <c r="CJ143" s="39"/>
      <c r="CK143" s="45"/>
      <c r="CL143" s="45"/>
      <c r="CM143" s="43"/>
      <c r="CN143" s="43"/>
      <c r="CO143" s="43"/>
      <c r="CP143" s="43"/>
      <c r="CQ143" s="39"/>
      <c r="CR143" s="43"/>
      <c r="CS143" s="45"/>
      <c r="CT143" s="45"/>
      <c r="CU143" s="45"/>
      <c r="CV143" s="45"/>
      <c r="CW143" s="43"/>
      <c r="CX143" s="43"/>
      <c r="CY143" s="43"/>
      <c r="CZ143" s="39"/>
      <c r="DA143" s="45"/>
      <c r="DB143" s="43"/>
      <c r="DC143" s="43"/>
      <c r="DD143" s="43"/>
      <c r="DE143" s="43"/>
      <c r="DF143" s="39">
        <f aca="true" t="shared" si="126" ref="DF143:DF156">CH143+CJ143+CL143+CN143+CP143+CX143+CZ143+CR143+CT143+CV143+DD143+DB143</f>
        <v>0</v>
      </c>
      <c r="DG143" s="39">
        <f aca="true" t="shared" si="127" ref="DG143:DG156">CI143+CK143+CM143+CO143+CQ143+CY143+DA143+CS143+CU143+CW143+DE143+DC143</f>
        <v>0</v>
      </c>
      <c r="DH143" s="39"/>
      <c r="DI143" s="39"/>
      <c r="DJ143" s="39">
        <v>0</v>
      </c>
      <c r="DK143" s="39">
        <f t="shared" si="118"/>
        <v>0</v>
      </c>
      <c r="DL143" s="39"/>
      <c r="DM143" s="39"/>
      <c r="DN143" s="43"/>
      <c r="DO143" s="43"/>
      <c r="DP143" s="39">
        <f aca="true" t="shared" si="128" ref="DP143:DP156">DL143+DN143</f>
        <v>0</v>
      </c>
      <c r="DQ143" s="39">
        <f t="shared" si="119"/>
        <v>0</v>
      </c>
      <c r="DR143" s="39"/>
      <c r="DS143" s="39"/>
      <c r="DT143" s="43"/>
      <c r="DU143" s="43"/>
      <c r="DV143" s="43"/>
      <c r="DW143" s="43"/>
      <c r="DX143" s="43"/>
      <c r="DY143" s="43"/>
      <c r="DZ143" s="39"/>
      <c r="EA143" s="39"/>
      <c r="EB143" s="43"/>
      <c r="EC143" s="43"/>
      <c r="ED143" s="43"/>
      <c r="EE143" s="43"/>
      <c r="EF143" s="39"/>
      <c r="EG143" s="43"/>
      <c r="EH143" s="43">
        <v>857.8</v>
      </c>
      <c r="EI143" s="39">
        <v>857.8</v>
      </c>
      <c r="EJ143" s="39">
        <v>32</v>
      </c>
      <c r="EK143" s="43">
        <v>26.516</v>
      </c>
      <c r="EL143" s="43"/>
      <c r="EM143" s="43"/>
      <c r="EN143" s="45"/>
      <c r="EO143" s="45"/>
      <c r="EP143" s="43"/>
      <c r="EQ143" s="43"/>
      <c r="ER143" s="43"/>
      <c r="ES143" s="43"/>
      <c r="ET143" s="135"/>
      <c r="EU143" s="135"/>
      <c r="EV143" s="135"/>
      <c r="EW143" s="135"/>
      <c r="EX143" s="43"/>
      <c r="EY143" s="43"/>
      <c r="EZ143" s="43"/>
      <c r="FA143" s="43"/>
      <c r="FB143" s="37">
        <f aca="true" t="shared" si="129" ref="FB143:FB156">DR143+DT143+DX143+EB143+DV143+EJ143+EL143+DZ143+ED143+EF143+EH143+EN143+EP143+ER143+ET143+EV143+EX143+EZ143</f>
        <v>889.8</v>
      </c>
      <c r="FC143" s="37">
        <f aca="true" t="shared" si="130" ref="FC143:FC156">DS143+DU143+DY143+EC143+DW143+EK143+EM143+EA143+EE143+EG143+EI143+EO143+EQ143+ES143+EU143+EW143+EY143+FA143</f>
        <v>884.3159999999999</v>
      </c>
      <c r="FD143" s="39"/>
      <c r="FE143" s="39"/>
      <c r="FF143" s="43"/>
      <c r="FG143" s="43"/>
      <c r="FH143" s="132">
        <f aca="true" t="shared" si="131" ref="FH143:FH156">FD143+FF143</f>
        <v>0</v>
      </c>
      <c r="FI143" s="132">
        <f t="shared" si="120"/>
        <v>0</v>
      </c>
      <c r="FJ143" s="39"/>
      <c r="FK143" s="39"/>
      <c r="FL143" s="43"/>
      <c r="FM143" s="43"/>
      <c r="FN143" s="43"/>
      <c r="FO143" s="43"/>
      <c r="FP143" s="43"/>
      <c r="FQ143" s="43"/>
      <c r="FR143" s="39"/>
      <c r="FS143" s="135"/>
      <c r="FT143" s="43"/>
      <c r="FU143" s="43"/>
      <c r="FV143" s="43"/>
      <c r="FW143" s="43"/>
      <c r="FX143" s="43"/>
      <c r="FY143" s="43"/>
      <c r="FZ143" s="43"/>
      <c r="GA143" s="43"/>
      <c r="GB143" s="43"/>
      <c r="GC143" s="43"/>
      <c r="GD143" s="135"/>
      <c r="GE143" s="135"/>
      <c r="GF143" s="43"/>
      <c r="GG143" s="43"/>
      <c r="GH143" s="43"/>
      <c r="GI143" s="43"/>
      <c r="GJ143" s="43"/>
      <c r="GK143" s="43"/>
      <c r="GL143" s="43"/>
      <c r="GM143" s="43"/>
      <c r="GN143" s="43"/>
      <c r="GO143" s="43"/>
      <c r="GP143" s="43"/>
      <c r="GQ143" s="43"/>
      <c r="GR143" s="43"/>
      <c r="GS143" s="43"/>
      <c r="GT143" s="43"/>
      <c r="GU143" s="43"/>
      <c r="GV143" s="43"/>
      <c r="GW143" s="43"/>
      <c r="GX143" s="45"/>
      <c r="GY143" s="45"/>
      <c r="GZ143" s="43"/>
      <c r="HA143" s="43"/>
      <c r="HB143" s="43"/>
      <c r="HC143" s="43"/>
      <c r="HD143" s="39">
        <f aca="true" t="shared" si="132" ref="HD143:HD156">FJ143+FL143+FN143+FP143+FR143+FT143+FV143+FX143+FZ143+GB143+GD143+GF143+GH143+GJ143+GP143+GR143+GV143+GN143+GT143+GL143+GX143+GZ143+HB143</f>
        <v>0</v>
      </c>
      <c r="HE143" s="39">
        <f aca="true" t="shared" si="133" ref="HE143:HE156">FK143+FM143+FO143+FQ143+FS143+FU143+FW143+FY143+GA143+GC143+GE143+GG143+GI143+GK143+GQ143+GS143+GW143+GO143+GU143+GM143+GY143+HA143+HC143</f>
        <v>0</v>
      </c>
      <c r="HF143" s="39"/>
      <c r="HG143" s="39"/>
      <c r="HH143" s="39"/>
      <c r="HI143" s="43"/>
      <c r="HJ143" s="43"/>
      <c r="HK143" s="43"/>
      <c r="HL143" s="43"/>
      <c r="HM143" s="43"/>
      <c r="HN143" s="126"/>
      <c r="HO143" s="126"/>
      <c r="HP143" s="39">
        <f aca="true" t="shared" si="134" ref="HP143:HP156">HF143+HH143+HJ143+HL143+HN143</f>
        <v>0</v>
      </c>
      <c r="HQ143" s="39">
        <f aca="true" t="shared" si="135" ref="HQ143:HQ156">HG143+HI143+HK143+HM143+HO143</f>
        <v>0</v>
      </c>
      <c r="HR143" s="39"/>
      <c r="HS143" s="39"/>
      <c r="HT143" s="39"/>
      <c r="HU143" s="43"/>
      <c r="HV143" s="39"/>
      <c r="HW143" s="39"/>
      <c r="HX143" s="39">
        <f aca="true" t="shared" si="136" ref="HX143:HX156">HR143+HT143+HV143</f>
        <v>0</v>
      </c>
      <c r="HY143" s="39">
        <f aca="true" t="shared" si="137" ref="HY143:HY156">HS143+HU143+HW143</f>
        <v>0</v>
      </c>
    </row>
    <row r="144" spans="1:233" ht="12.75" customHeight="1">
      <c r="A144" s="13" t="s">
        <v>121</v>
      </c>
      <c r="B144" s="39">
        <f>SUM(B145:B150)</f>
        <v>0</v>
      </c>
      <c r="C144" s="39">
        <f aca="true" t="shared" si="138" ref="C144:BN144">SUM(C145:C150)</f>
        <v>0</v>
      </c>
      <c r="D144" s="39">
        <f t="shared" si="138"/>
        <v>19908</v>
      </c>
      <c r="E144" s="39">
        <f t="shared" si="138"/>
        <v>19908</v>
      </c>
      <c r="F144" s="39">
        <f t="shared" si="138"/>
        <v>84690</v>
      </c>
      <c r="G144" s="39">
        <f t="shared" si="138"/>
        <v>84690</v>
      </c>
      <c r="H144" s="39">
        <f t="shared" si="138"/>
        <v>0</v>
      </c>
      <c r="I144" s="39">
        <f t="shared" si="138"/>
        <v>0</v>
      </c>
      <c r="J144" s="39">
        <f t="shared" si="138"/>
        <v>0</v>
      </c>
      <c r="K144" s="39">
        <f t="shared" si="138"/>
        <v>0</v>
      </c>
      <c r="L144" s="39">
        <f t="shared" si="138"/>
        <v>0</v>
      </c>
      <c r="M144" s="39">
        <f t="shared" si="138"/>
        <v>0</v>
      </c>
      <c r="N144" s="39">
        <f t="shared" si="138"/>
        <v>0</v>
      </c>
      <c r="O144" s="39">
        <f t="shared" si="138"/>
        <v>0</v>
      </c>
      <c r="P144" s="39">
        <f t="shared" si="138"/>
        <v>0</v>
      </c>
      <c r="Q144" s="39">
        <f t="shared" si="138"/>
        <v>0</v>
      </c>
      <c r="R144" s="39">
        <f t="shared" si="138"/>
        <v>295</v>
      </c>
      <c r="S144" s="39">
        <f t="shared" si="138"/>
        <v>292.58441</v>
      </c>
      <c r="T144" s="39">
        <f t="shared" si="138"/>
        <v>1352.4858900000002</v>
      </c>
      <c r="U144" s="39">
        <f t="shared" si="138"/>
        <v>1352.4858900000002</v>
      </c>
      <c r="V144" s="39">
        <f t="shared" si="138"/>
        <v>50</v>
      </c>
      <c r="W144" s="39">
        <f t="shared" si="138"/>
        <v>50</v>
      </c>
      <c r="X144" s="39">
        <f t="shared" si="138"/>
        <v>0</v>
      </c>
      <c r="Y144" s="39">
        <f t="shared" si="138"/>
        <v>0</v>
      </c>
      <c r="Z144" s="39">
        <f t="shared" si="138"/>
        <v>0</v>
      </c>
      <c r="AA144" s="39">
        <f t="shared" si="138"/>
        <v>0</v>
      </c>
      <c r="AB144" s="39">
        <f t="shared" si="138"/>
        <v>0</v>
      </c>
      <c r="AC144" s="39">
        <f t="shared" si="138"/>
        <v>0</v>
      </c>
      <c r="AD144" s="39">
        <f t="shared" si="138"/>
        <v>0</v>
      </c>
      <c r="AE144" s="39">
        <f t="shared" si="138"/>
        <v>0</v>
      </c>
      <c r="AF144" s="39">
        <f t="shared" si="138"/>
        <v>731</v>
      </c>
      <c r="AG144" s="39">
        <f t="shared" si="138"/>
        <v>731</v>
      </c>
      <c r="AH144" s="39">
        <f t="shared" si="138"/>
        <v>107026.48589</v>
      </c>
      <c r="AI144" s="39">
        <f t="shared" si="138"/>
        <v>107024.0703</v>
      </c>
      <c r="AJ144" s="39">
        <f t="shared" si="138"/>
        <v>610</v>
      </c>
      <c r="AK144" s="39">
        <f t="shared" si="138"/>
        <v>610</v>
      </c>
      <c r="AL144" s="39">
        <f t="shared" si="138"/>
        <v>0</v>
      </c>
      <c r="AM144" s="39">
        <f t="shared" si="138"/>
        <v>0</v>
      </c>
      <c r="AN144" s="39">
        <f t="shared" si="138"/>
        <v>0</v>
      </c>
      <c r="AO144" s="39">
        <f t="shared" si="138"/>
        <v>0</v>
      </c>
      <c r="AP144" s="39">
        <f t="shared" si="138"/>
        <v>0</v>
      </c>
      <c r="AQ144" s="39">
        <f t="shared" si="138"/>
        <v>0</v>
      </c>
      <c r="AR144" s="39">
        <f t="shared" si="138"/>
        <v>0</v>
      </c>
      <c r="AS144" s="39">
        <f t="shared" si="138"/>
        <v>0</v>
      </c>
      <c r="AT144" s="39">
        <f t="shared" si="138"/>
        <v>10</v>
      </c>
      <c r="AU144" s="39">
        <f t="shared" si="138"/>
        <v>10</v>
      </c>
      <c r="AV144" s="39">
        <f t="shared" si="138"/>
        <v>0</v>
      </c>
      <c r="AW144" s="39">
        <f t="shared" si="138"/>
        <v>0</v>
      </c>
      <c r="AX144" s="39">
        <f t="shared" si="138"/>
        <v>0</v>
      </c>
      <c r="AY144" s="39">
        <f t="shared" si="138"/>
        <v>0</v>
      </c>
      <c r="AZ144" s="39">
        <f t="shared" si="138"/>
        <v>620</v>
      </c>
      <c r="BA144" s="39">
        <f t="shared" si="138"/>
        <v>620</v>
      </c>
      <c r="BB144" s="39">
        <f t="shared" si="138"/>
        <v>2427</v>
      </c>
      <c r="BC144" s="39">
        <f t="shared" si="138"/>
        <v>2427</v>
      </c>
      <c r="BD144" s="39">
        <f t="shared" si="138"/>
        <v>1105.8</v>
      </c>
      <c r="BE144" s="39">
        <f t="shared" si="138"/>
        <v>655.1610000000001</v>
      </c>
      <c r="BF144" s="39">
        <f t="shared" si="138"/>
        <v>0</v>
      </c>
      <c r="BG144" s="39">
        <f t="shared" si="138"/>
        <v>0</v>
      </c>
      <c r="BH144" s="39">
        <f t="shared" si="138"/>
        <v>11866.7</v>
      </c>
      <c r="BI144" s="39">
        <f t="shared" si="138"/>
        <v>11866.7</v>
      </c>
      <c r="BJ144" s="39">
        <f t="shared" si="138"/>
        <v>3296</v>
      </c>
      <c r="BK144" s="39">
        <f t="shared" si="138"/>
        <v>3296</v>
      </c>
      <c r="BL144" s="39">
        <f t="shared" si="138"/>
        <v>1922</v>
      </c>
      <c r="BM144" s="39">
        <f t="shared" si="138"/>
        <v>1922</v>
      </c>
      <c r="BN144" s="39">
        <f t="shared" si="138"/>
        <v>2071.332</v>
      </c>
      <c r="BO144" s="39">
        <f aca="true" t="shared" si="139" ref="BO144:DZ144">SUM(BO145:BO150)</f>
        <v>2071.332</v>
      </c>
      <c r="BP144" s="39">
        <f t="shared" si="139"/>
        <v>24659.4</v>
      </c>
      <c r="BQ144" s="39">
        <f t="shared" si="139"/>
        <v>22510.574</v>
      </c>
      <c r="BR144" s="39">
        <f t="shared" si="139"/>
        <v>0</v>
      </c>
      <c r="BS144" s="39">
        <f t="shared" si="139"/>
        <v>0</v>
      </c>
      <c r="BT144" s="39">
        <f t="shared" si="139"/>
        <v>2166</v>
      </c>
      <c r="BU144" s="39">
        <f t="shared" si="139"/>
        <v>2166</v>
      </c>
      <c r="BV144" s="39">
        <f t="shared" si="139"/>
        <v>3086.928</v>
      </c>
      <c r="BW144" s="39">
        <f t="shared" si="139"/>
        <v>2604.308</v>
      </c>
      <c r="BX144" s="39">
        <f t="shared" si="139"/>
        <v>0</v>
      </c>
      <c r="BY144" s="39">
        <f t="shared" si="139"/>
        <v>0</v>
      </c>
      <c r="BZ144" s="39">
        <f t="shared" si="139"/>
        <v>0</v>
      </c>
      <c r="CA144" s="39">
        <f t="shared" si="139"/>
        <v>0</v>
      </c>
      <c r="CB144" s="39">
        <f t="shared" si="139"/>
        <v>1150.74</v>
      </c>
      <c r="CC144" s="39">
        <f t="shared" si="139"/>
        <v>1150.74</v>
      </c>
      <c r="CD144" s="39">
        <f t="shared" si="139"/>
        <v>0</v>
      </c>
      <c r="CE144" s="39">
        <f t="shared" si="139"/>
        <v>0</v>
      </c>
      <c r="CF144" s="39">
        <f t="shared" si="139"/>
        <v>51324.90000000001</v>
      </c>
      <c r="CG144" s="39">
        <f t="shared" si="139"/>
        <v>48242.815</v>
      </c>
      <c r="CH144" s="39">
        <f t="shared" si="139"/>
        <v>0</v>
      </c>
      <c r="CI144" s="39">
        <f t="shared" si="139"/>
        <v>0</v>
      </c>
      <c r="CJ144" s="39">
        <f t="shared" si="139"/>
        <v>0</v>
      </c>
      <c r="CK144" s="39">
        <f t="shared" si="139"/>
        <v>0</v>
      </c>
      <c r="CL144" s="39">
        <f t="shared" si="139"/>
        <v>0</v>
      </c>
      <c r="CM144" s="39">
        <f t="shared" si="139"/>
        <v>0</v>
      </c>
      <c r="CN144" s="39">
        <f t="shared" si="139"/>
        <v>0</v>
      </c>
      <c r="CO144" s="39">
        <f t="shared" si="139"/>
        <v>0</v>
      </c>
      <c r="CP144" s="39">
        <f t="shared" si="139"/>
        <v>566.5</v>
      </c>
      <c r="CQ144" s="39">
        <f t="shared" si="139"/>
        <v>548.031</v>
      </c>
      <c r="CR144" s="39">
        <f t="shared" si="139"/>
        <v>1933.5</v>
      </c>
      <c r="CS144" s="39">
        <f t="shared" si="139"/>
        <v>1876.67</v>
      </c>
      <c r="CT144" s="39">
        <f t="shared" si="139"/>
        <v>0</v>
      </c>
      <c r="CU144" s="39">
        <f t="shared" si="139"/>
        <v>0</v>
      </c>
      <c r="CV144" s="39">
        <f t="shared" si="139"/>
        <v>0</v>
      </c>
      <c r="CW144" s="39">
        <f t="shared" si="139"/>
        <v>0</v>
      </c>
      <c r="CX144" s="39">
        <f t="shared" si="139"/>
        <v>0</v>
      </c>
      <c r="CY144" s="39">
        <f t="shared" si="139"/>
        <v>0</v>
      </c>
      <c r="CZ144" s="39">
        <f t="shared" si="139"/>
        <v>356.506</v>
      </c>
      <c r="DA144" s="39">
        <f t="shared" si="139"/>
        <v>353.45099999999996</v>
      </c>
      <c r="DB144" s="39">
        <f t="shared" si="139"/>
        <v>0</v>
      </c>
      <c r="DC144" s="39">
        <f t="shared" si="139"/>
        <v>0</v>
      </c>
      <c r="DD144" s="39">
        <f t="shared" si="139"/>
        <v>0</v>
      </c>
      <c r="DE144" s="39">
        <f t="shared" si="139"/>
        <v>0</v>
      </c>
      <c r="DF144" s="39">
        <f t="shared" si="139"/>
        <v>2856.506</v>
      </c>
      <c r="DG144" s="39">
        <f t="shared" si="139"/>
        <v>2778.152</v>
      </c>
      <c r="DH144" s="39">
        <f t="shared" si="139"/>
        <v>769.88</v>
      </c>
      <c r="DI144" s="39">
        <f t="shared" si="139"/>
        <v>609.88</v>
      </c>
      <c r="DJ144" s="39">
        <f t="shared" si="139"/>
        <v>769.88</v>
      </c>
      <c r="DK144" s="39">
        <f t="shared" si="139"/>
        <v>609.88</v>
      </c>
      <c r="DL144" s="39">
        <f t="shared" si="139"/>
        <v>9659.43</v>
      </c>
      <c r="DM144" s="39">
        <f t="shared" si="139"/>
        <v>9659.43</v>
      </c>
      <c r="DN144" s="39">
        <f t="shared" si="139"/>
        <v>0</v>
      </c>
      <c r="DO144" s="39">
        <f t="shared" si="139"/>
        <v>0</v>
      </c>
      <c r="DP144" s="39">
        <f t="shared" si="139"/>
        <v>9659.43</v>
      </c>
      <c r="DQ144" s="39">
        <f t="shared" si="139"/>
        <v>9659.43</v>
      </c>
      <c r="DR144" s="39">
        <f t="shared" si="139"/>
        <v>0</v>
      </c>
      <c r="DS144" s="39">
        <f t="shared" si="139"/>
        <v>0</v>
      </c>
      <c r="DT144" s="39">
        <f t="shared" si="139"/>
        <v>0</v>
      </c>
      <c r="DU144" s="39">
        <f t="shared" si="139"/>
        <v>0</v>
      </c>
      <c r="DV144" s="39">
        <f t="shared" si="139"/>
        <v>17</v>
      </c>
      <c r="DW144" s="39">
        <f t="shared" si="139"/>
        <v>17</v>
      </c>
      <c r="DX144" s="39">
        <f t="shared" si="139"/>
        <v>0</v>
      </c>
      <c r="DY144" s="39">
        <f t="shared" si="139"/>
        <v>0</v>
      </c>
      <c r="DZ144" s="39">
        <f t="shared" si="139"/>
        <v>0</v>
      </c>
      <c r="EA144" s="39">
        <f aca="true" t="shared" si="140" ref="EA144:GL144">SUM(EA145:EA150)</f>
        <v>0</v>
      </c>
      <c r="EB144" s="39">
        <f t="shared" si="140"/>
        <v>0</v>
      </c>
      <c r="EC144" s="39">
        <f t="shared" si="140"/>
        <v>0</v>
      </c>
      <c r="ED144" s="39">
        <f t="shared" si="140"/>
        <v>0</v>
      </c>
      <c r="EE144" s="39">
        <f t="shared" si="140"/>
        <v>0</v>
      </c>
      <c r="EF144" s="39">
        <f t="shared" si="140"/>
        <v>460</v>
      </c>
      <c r="EG144" s="39">
        <f t="shared" si="140"/>
        <v>460</v>
      </c>
      <c r="EH144" s="39">
        <f t="shared" si="140"/>
        <v>13082.800000000001</v>
      </c>
      <c r="EI144" s="39">
        <f t="shared" si="140"/>
        <v>13082.800000000001</v>
      </c>
      <c r="EJ144" s="39">
        <f t="shared" si="140"/>
        <v>2679</v>
      </c>
      <c r="EK144" s="39">
        <f t="shared" si="140"/>
        <v>2425</v>
      </c>
      <c r="EL144" s="39">
        <f t="shared" si="140"/>
        <v>0</v>
      </c>
      <c r="EM144" s="39">
        <f t="shared" si="140"/>
        <v>0</v>
      </c>
      <c r="EN144" s="39">
        <f t="shared" si="140"/>
        <v>0</v>
      </c>
      <c r="EO144" s="39">
        <f t="shared" si="140"/>
        <v>0</v>
      </c>
      <c r="EP144" s="39">
        <f t="shared" si="140"/>
        <v>0</v>
      </c>
      <c r="EQ144" s="39">
        <f t="shared" si="140"/>
        <v>0</v>
      </c>
      <c r="ER144" s="39">
        <f t="shared" si="140"/>
        <v>22600</v>
      </c>
      <c r="ES144" s="39">
        <f t="shared" si="140"/>
        <v>22600</v>
      </c>
      <c r="ET144" s="39">
        <f t="shared" si="140"/>
        <v>5150</v>
      </c>
      <c r="EU144" s="39">
        <f t="shared" si="140"/>
        <v>5150</v>
      </c>
      <c r="EV144" s="39">
        <f t="shared" si="140"/>
        <v>26.8</v>
      </c>
      <c r="EW144" s="39">
        <f t="shared" si="140"/>
        <v>26.8</v>
      </c>
      <c r="EX144" s="39">
        <f t="shared" si="140"/>
        <v>100</v>
      </c>
      <c r="EY144" s="39">
        <f t="shared" si="140"/>
        <v>100</v>
      </c>
      <c r="EZ144" s="39">
        <f t="shared" si="140"/>
        <v>50</v>
      </c>
      <c r="FA144" s="39">
        <f t="shared" si="140"/>
        <v>50</v>
      </c>
      <c r="FB144" s="39">
        <f t="shared" si="140"/>
        <v>44165.6</v>
      </c>
      <c r="FC144" s="39">
        <f t="shared" si="140"/>
        <v>43911.6</v>
      </c>
      <c r="FD144" s="39">
        <f t="shared" si="140"/>
        <v>343.4</v>
      </c>
      <c r="FE144" s="39">
        <f t="shared" si="140"/>
        <v>343.4</v>
      </c>
      <c r="FF144" s="39">
        <f t="shared" si="140"/>
        <v>27.44</v>
      </c>
      <c r="FG144" s="39">
        <f t="shared" si="140"/>
        <v>27.44</v>
      </c>
      <c r="FH144" s="39">
        <f t="shared" si="140"/>
        <v>370.84</v>
      </c>
      <c r="FI144" s="39">
        <f t="shared" si="140"/>
        <v>370.84</v>
      </c>
      <c r="FJ144" s="39">
        <f t="shared" si="140"/>
        <v>0</v>
      </c>
      <c r="FK144" s="39">
        <f t="shared" si="140"/>
        <v>0</v>
      </c>
      <c r="FL144" s="39">
        <f t="shared" si="140"/>
        <v>0</v>
      </c>
      <c r="FM144" s="39">
        <f t="shared" si="140"/>
        <v>0</v>
      </c>
      <c r="FN144" s="39">
        <f t="shared" si="140"/>
        <v>0</v>
      </c>
      <c r="FO144" s="39">
        <f t="shared" si="140"/>
        <v>0</v>
      </c>
      <c r="FP144" s="39">
        <f t="shared" si="140"/>
        <v>0</v>
      </c>
      <c r="FQ144" s="39">
        <f t="shared" si="140"/>
        <v>0</v>
      </c>
      <c r="FR144" s="39">
        <f t="shared" si="140"/>
        <v>0</v>
      </c>
      <c r="FS144" s="39">
        <f t="shared" si="140"/>
        <v>0</v>
      </c>
      <c r="FT144" s="39">
        <f t="shared" si="140"/>
        <v>2035</v>
      </c>
      <c r="FU144" s="39">
        <f t="shared" si="140"/>
        <v>2035</v>
      </c>
      <c r="FV144" s="39">
        <f t="shared" si="140"/>
        <v>1140</v>
      </c>
      <c r="FW144" s="39">
        <f t="shared" si="140"/>
        <v>1140</v>
      </c>
      <c r="FX144" s="39">
        <f t="shared" si="140"/>
        <v>13300</v>
      </c>
      <c r="FY144" s="39">
        <f t="shared" si="140"/>
        <v>13300</v>
      </c>
      <c r="FZ144" s="39">
        <f t="shared" si="140"/>
        <v>4918</v>
      </c>
      <c r="GA144" s="39">
        <f t="shared" si="140"/>
        <v>4918</v>
      </c>
      <c r="GB144" s="39">
        <f t="shared" si="140"/>
        <v>0</v>
      </c>
      <c r="GC144" s="39">
        <f t="shared" si="140"/>
        <v>0</v>
      </c>
      <c r="GD144" s="39">
        <f t="shared" si="140"/>
        <v>11210</v>
      </c>
      <c r="GE144" s="39">
        <f t="shared" si="140"/>
        <v>11210</v>
      </c>
      <c r="GF144" s="39">
        <f t="shared" si="140"/>
        <v>0</v>
      </c>
      <c r="GG144" s="39">
        <f t="shared" si="140"/>
        <v>0</v>
      </c>
      <c r="GH144" s="39">
        <f t="shared" si="140"/>
        <v>0</v>
      </c>
      <c r="GI144" s="39">
        <f t="shared" si="140"/>
        <v>0</v>
      </c>
      <c r="GJ144" s="39">
        <f t="shared" si="140"/>
        <v>63650</v>
      </c>
      <c r="GK144" s="39">
        <f t="shared" si="140"/>
        <v>63650</v>
      </c>
      <c r="GL144" s="39">
        <f t="shared" si="140"/>
        <v>150444.5</v>
      </c>
      <c r="GM144" s="39">
        <f aca="true" t="shared" si="141" ref="GM144:HY144">SUM(GM145:GM150)</f>
        <v>150444.5</v>
      </c>
      <c r="GN144" s="39">
        <f t="shared" si="141"/>
        <v>6465.1</v>
      </c>
      <c r="GO144" s="39">
        <f t="shared" si="141"/>
        <v>6465.1</v>
      </c>
      <c r="GP144" s="39">
        <f t="shared" si="141"/>
        <v>7792.2</v>
      </c>
      <c r="GQ144" s="39">
        <f t="shared" si="141"/>
        <v>7792.2</v>
      </c>
      <c r="GR144" s="39">
        <f t="shared" si="141"/>
        <v>1362</v>
      </c>
      <c r="GS144" s="39">
        <f t="shared" si="141"/>
        <v>1362</v>
      </c>
      <c r="GT144" s="39">
        <f t="shared" si="141"/>
        <v>179.5</v>
      </c>
      <c r="GU144" s="39">
        <f t="shared" si="141"/>
        <v>179.5</v>
      </c>
      <c r="GV144" s="39">
        <f t="shared" si="141"/>
        <v>20637</v>
      </c>
      <c r="GW144" s="39">
        <f t="shared" si="141"/>
        <v>20637</v>
      </c>
      <c r="GX144" s="39">
        <f t="shared" si="141"/>
        <v>8892.9</v>
      </c>
      <c r="GY144" s="39">
        <f t="shared" si="141"/>
        <v>8892.9</v>
      </c>
      <c r="GZ144" s="39">
        <f t="shared" si="141"/>
        <v>0</v>
      </c>
      <c r="HA144" s="39">
        <f t="shared" si="141"/>
        <v>0</v>
      </c>
      <c r="HB144" s="39">
        <f t="shared" si="141"/>
        <v>93.3</v>
      </c>
      <c r="HC144" s="39">
        <f t="shared" si="141"/>
        <v>93.3</v>
      </c>
      <c r="HD144" s="39">
        <f t="shared" si="141"/>
        <v>292119.5</v>
      </c>
      <c r="HE144" s="39">
        <f t="shared" si="141"/>
        <v>292119.5</v>
      </c>
      <c r="HF144" s="39">
        <f t="shared" si="141"/>
        <v>0</v>
      </c>
      <c r="HG144" s="39">
        <f t="shared" si="141"/>
        <v>0</v>
      </c>
      <c r="HH144" s="39">
        <f t="shared" si="141"/>
        <v>14236</v>
      </c>
      <c r="HI144" s="39">
        <f t="shared" si="141"/>
        <v>0</v>
      </c>
      <c r="HJ144" s="39">
        <f t="shared" si="141"/>
        <v>0</v>
      </c>
      <c r="HK144" s="39">
        <f t="shared" si="141"/>
        <v>0</v>
      </c>
      <c r="HL144" s="39">
        <f t="shared" si="141"/>
        <v>0</v>
      </c>
      <c r="HM144" s="39">
        <f t="shared" si="141"/>
        <v>0</v>
      </c>
      <c r="HN144" s="39">
        <f t="shared" si="141"/>
        <v>0</v>
      </c>
      <c r="HO144" s="39">
        <f t="shared" si="141"/>
        <v>0</v>
      </c>
      <c r="HP144" s="39">
        <f t="shared" si="141"/>
        <v>14236</v>
      </c>
      <c r="HQ144" s="39">
        <f t="shared" si="141"/>
        <v>0</v>
      </c>
      <c r="HR144" s="39">
        <f t="shared" si="141"/>
        <v>0</v>
      </c>
      <c r="HS144" s="39">
        <f t="shared" si="141"/>
        <v>0</v>
      </c>
      <c r="HT144" s="39">
        <f t="shared" si="141"/>
        <v>384</v>
      </c>
      <c r="HU144" s="39">
        <f t="shared" si="141"/>
        <v>384</v>
      </c>
      <c r="HV144" s="39">
        <f t="shared" si="141"/>
        <v>3.555</v>
      </c>
      <c r="HW144" s="39">
        <f t="shared" si="141"/>
        <v>3.555</v>
      </c>
      <c r="HX144" s="39">
        <f t="shared" si="141"/>
        <v>387.555</v>
      </c>
      <c r="HY144" s="39">
        <f t="shared" si="141"/>
        <v>387.555</v>
      </c>
    </row>
    <row r="145" spans="1:233" ht="12.75">
      <c r="A145" s="12" t="s">
        <v>156</v>
      </c>
      <c r="B145" s="34"/>
      <c r="C145" s="34"/>
      <c r="D145" s="34"/>
      <c r="E145" s="34"/>
      <c r="F145" s="39">
        <f>11757+6630+3705+3315+3300+3757+4586+4586+4586+15542+4586+4586+4584.7+4584.7+4584.6</f>
        <v>84690</v>
      </c>
      <c r="G145" s="39">
        <f>11757+6630+3705+3315+3300+3757+4586+4586+4586+15542+4586+4586+4584.7+4584.7+4584.6</f>
        <v>84690</v>
      </c>
      <c r="H145" s="34"/>
      <c r="I145" s="34"/>
      <c r="J145" s="34"/>
      <c r="K145" s="34"/>
      <c r="L145" s="34"/>
      <c r="M145" s="34"/>
      <c r="N145" s="34"/>
      <c r="O145" s="34"/>
      <c r="P145" s="34"/>
      <c r="Q145" s="34"/>
      <c r="R145" s="39"/>
      <c r="S145" s="39"/>
      <c r="T145" s="39"/>
      <c r="U145" s="39"/>
      <c r="V145" s="39"/>
      <c r="W145" s="34"/>
      <c r="X145" s="34"/>
      <c r="Y145" s="34"/>
      <c r="Z145" s="34"/>
      <c r="AA145" s="34"/>
      <c r="AB145" s="48"/>
      <c r="AC145" s="48"/>
      <c r="AD145" s="48"/>
      <c r="AE145" s="48"/>
      <c r="AF145" s="39">
        <v>0</v>
      </c>
      <c r="AG145" s="34"/>
      <c r="AH145" s="126">
        <f t="shared" si="121"/>
        <v>84690</v>
      </c>
      <c r="AI145" s="126">
        <f t="shared" si="122"/>
        <v>84690</v>
      </c>
      <c r="AJ145" s="43">
        <v>610</v>
      </c>
      <c r="AK145" s="43">
        <v>610</v>
      </c>
      <c r="AL145" s="134"/>
      <c r="AM145" s="41"/>
      <c r="AN145" s="41"/>
      <c r="AO145" s="41"/>
      <c r="AP145" s="41"/>
      <c r="AQ145" s="41"/>
      <c r="AR145" s="39"/>
      <c r="AS145" s="39"/>
      <c r="AT145" s="43">
        <v>10</v>
      </c>
      <c r="AU145" s="43">
        <v>10</v>
      </c>
      <c r="AV145" s="43"/>
      <c r="AW145" s="43"/>
      <c r="AX145" s="43"/>
      <c r="AY145" s="43"/>
      <c r="AZ145" s="39">
        <f t="shared" si="123"/>
        <v>620</v>
      </c>
      <c r="BA145" s="39">
        <f t="shared" si="117"/>
        <v>620</v>
      </c>
      <c r="BB145" s="39">
        <v>2427</v>
      </c>
      <c r="BC145" s="39">
        <v>2427</v>
      </c>
      <c r="BD145" s="39"/>
      <c r="BE145" s="43"/>
      <c r="BF145" s="43"/>
      <c r="BG145" s="43"/>
      <c r="BH145" s="43">
        <v>11866.7</v>
      </c>
      <c r="BI145" s="43">
        <v>11866.7</v>
      </c>
      <c r="BJ145" s="43">
        <v>3296</v>
      </c>
      <c r="BK145" s="43">
        <v>3296</v>
      </c>
      <c r="BL145" s="43">
        <v>1922</v>
      </c>
      <c r="BM145" s="43">
        <v>1922</v>
      </c>
      <c r="BN145" s="43">
        <v>2071.332</v>
      </c>
      <c r="BO145" s="43">
        <v>2071.332</v>
      </c>
      <c r="BP145" s="43">
        <v>9311.9</v>
      </c>
      <c r="BQ145" s="43">
        <v>7954.96</v>
      </c>
      <c r="BR145" s="43"/>
      <c r="BS145" s="43"/>
      <c r="BT145" s="43">
        <v>830.8</v>
      </c>
      <c r="BU145" s="43">
        <v>830.8</v>
      </c>
      <c r="BV145" s="43">
        <v>1272.65</v>
      </c>
      <c r="BW145" s="43">
        <v>790.03</v>
      </c>
      <c r="BX145" s="43"/>
      <c r="BY145" s="45"/>
      <c r="BZ145" s="43"/>
      <c r="CA145" s="45"/>
      <c r="CB145" s="39">
        <v>1150.74</v>
      </c>
      <c r="CC145" s="39">
        <v>1150.74</v>
      </c>
      <c r="CD145" s="43">
        <v>0</v>
      </c>
      <c r="CE145" s="43">
        <v>0</v>
      </c>
      <c r="CF145" s="39">
        <f t="shared" si="124"/>
        <v>31722.122000000003</v>
      </c>
      <c r="CG145" s="39">
        <f t="shared" si="125"/>
        <v>29882.561999999998</v>
      </c>
      <c r="CH145" s="39"/>
      <c r="CI145" s="39"/>
      <c r="CJ145" s="39"/>
      <c r="CK145" s="45"/>
      <c r="CL145" s="45"/>
      <c r="CM145" s="43"/>
      <c r="CN145" s="43"/>
      <c r="CO145" s="43"/>
      <c r="CP145" s="43"/>
      <c r="CQ145" s="39"/>
      <c r="CR145" s="43"/>
      <c r="CS145" s="45"/>
      <c r="CT145" s="45"/>
      <c r="CU145" s="45"/>
      <c r="CV145" s="45"/>
      <c r="CW145" s="43"/>
      <c r="CX145" s="43"/>
      <c r="CY145" s="43"/>
      <c r="CZ145" s="39">
        <v>42.781</v>
      </c>
      <c r="DA145" s="39">
        <v>42.781</v>
      </c>
      <c r="DB145" s="43"/>
      <c r="DC145" s="43"/>
      <c r="DD145" s="43"/>
      <c r="DE145" s="43"/>
      <c r="DF145" s="39">
        <f t="shared" si="126"/>
        <v>42.781</v>
      </c>
      <c r="DG145" s="39">
        <f t="shared" si="127"/>
        <v>42.781</v>
      </c>
      <c r="DH145" s="39">
        <v>400</v>
      </c>
      <c r="DI145" s="39">
        <v>240</v>
      </c>
      <c r="DJ145" s="39">
        <v>400</v>
      </c>
      <c r="DK145" s="39">
        <f t="shared" si="118"/>
        <v>240</v>
      </c>
      <c r="DL145" s="39"/>
      <c r="DM145" s="39"/>
      <c r="DN145" s="43"/>
      <c r="DO145" s="43"/>
      <c r="DP145" s="39">
        <f t="shared" si="128"/>
        <v>0</v>
      </c>
      <c r="DQ145" s="39">
        <f t="shared" si="119"/>
        <v>0</v>
      </c>
      <c r="DR145" s="39"/>
      <c r="DS145" s="39"/>
      <c r="DT145" s="43"/>
      <c r="DU145" s="43"/>
      <c r="DV145" s="43">
        <v>17</v>
      </c>
      <c r="DW145" s="43">
        <v>17</v>
      </c>
      <c r="DX145" s="43"/>
      <c r="DY145" s="43"/>
      <c r="DZ145" s="39"/>
      <c r="EA145" s="39"/>
      <c r="EB145" s="43"/>
      <c r="EC145" s="43"/>
      <c r="ED145" s="43"/>
      <c r="EE145" s="43"/>
      <c r="EF145" s="39"/>
      <c r="EG145" s="43"/>
      <c r="EH145" s="43">
        <v>999</v>
      </c>
      <c r="EI145" s="39">
        <v>999</v>
      </c>
      <c r="EJ145" s="39">
        <v>1474</v>
      </c>
      <c r="EK145" s="43">
        <v>1272</v>
      </c>
      <c r="EL145" s="43"/>
      <c r="EM145" s="43"/>
      <c r="EN145" s="45"/>
      <c r="EO145" s="45"/>
      <c r="EP145" s="43"/>
      <c r="EQ145" s="43"/>
      <c r="ER145" s="43"/>
      <c r="ES145" s="43"/>
      <c r="ET145" s="135"/>
      <c r="EU145" s="135"/>
      <c r="EV145" s="135">
        <v>26.8</v>
      </c>
      <c r="EW145" s="135">
        <v>26.8</v>
      </c>
      <c r="EX145" s="43">
        <v>100</v>
      </c>
      <c r="EY145" s="43">
        <v>100</v>
      </c>
      <c r="EZ145" s="43">
        <v>50</v>
      </c>
      <c r="FA145" s="43">
        <v>50</v>
      </c>
      <c r="FB145" s="37">
        <f t="shared" si="129"/>
        <v>2666.8</v>
      </c>
      <c r="FC145" s="37">
        <f t="shared" si="130"/>
        <v>2464.8</v>
      </c>
      <c r="FD145" s="39">
        <v>343.4</v>
      </c>
      <c r="FE145" s="39">
        <v>343.4</v>
      </c>
      <c r="FF145" s="43">
        <v>27.44</v>
      </c>
      <c r="FG145" s="43">
        <v>27.44</v>
      </c>
      <c r="FH145" s="132">
        <f t="shared" si="131"/>
        <v>370.84</v>
      </c>
      <c r="FI145" s="132">
        <f t="shared" si="120"/>
        <v>370.84</v>
      </c>
      <c r="FJ145" s="39"/>
      <c r="FK145" s="39"/>
      <c r="FL145" s="43"/>
      <c r="FM145" s="43"/>
      <c r="FN145" s="43"/>
      <c r="FO145" s="43"/>
      <c r="FP145" s="43"/>
      <c r="FQ145" s="43"/>
      <c r="FR145" s="39"/>
      <c r="FS145" s="135"/>
      <c r="FT145" s="43">
        <v>2035</v>
      </c>
      <c r="FU145" s="43">
        <v>2035</v>
      </c>
      <c r="FV145" s="43">
        <v>1140</v>
      </c>
      <c r="FW145" s="43">
        <v>1140</v>
      </c>
      <c r="FX145" s="43">
        <v>13300</v>
      </c>
      <c r="FY145" s="43">
        <v>13300</v>
      </c>
      <c r="FZ145" s="43">
        <v>4918</v>
      </c>
      <c r="GA145" s="43">
        <v>4918</v>
      </c>
      <c r="GB145" s="43"/>
      <c r="GC145" s="43"/>
      <c r="GD145" s="135">
        <v>11210</v>
      </c>
      <c r="GE145" s="135">
        <v>11210</v>
      </c>
      <c r="GF145" s="43"/>
      <c r="GG145" s="43"/>
      <c r="GH145" s="43"/>
      <c r="GI145" s="43"/>
      <c r="GJ145" s="43">
        <v>63650</v>
      </c>
      <c r="GK145" s="43">
        <v>63650</v>
      </c>
      <c r="GL145" s="43">
        <v>150444.5</v>
      </c>
      <c r="GM145" s="43">
        <v>150444.5</v>
      </c>
      <c r="GN145" s="43">
        <v>6465.1</v>
      </c>
      <c r="GO145" s="43">
        <v>6465.1</v>
      </c>
      <c r="GP145" s="43">
        <v>7792.2</v>
      </c>
      <c r="GQ145" s="43">
        <v>7792.2</v>
      </c>
      <c r="GR145" s="43">
        <v>1362</v>
      </c>
      <c r="GS145" s="43">
        <v>1362</v>
      </c>
      <c r="GT145" s="43">
        <v>179.5</v>
      </c>
      <c r="GU145" s="43">
        <v>179.5</v>
      </c>
      <c r="GV145" s="43">
        <v>20637</v>
      </c>
      <c r="GW145" s="43">
        <v>20637</v>
      </c>
      <c r="GX145" s="45">
        <v>8892.9</v>
      </c>
      <c r="GY145" s="45">
        <v>8892.9</v>
      </c>
      <c r="GZ145" s="43"/>
      <c r="HA145" s="43"/>
      <c r="HB145" s="43">
        <v>93.3</v>
      </c>
      <c r="HC145" s="43">
        <v>93.3</v>
      </c>
      <c r="HD145" s="39">
        <f t="shared" si="132"/>
        <v>292119.5</v>
      </c>
      <c r="HE145" s="39">
        <f t="shared" si="133"/>
        <v>292119.5</v>
      </c>
      <c r="HF145" s="39">
        <v>0</v>
      </c>
      <c r="HG145" s="39">
        <v>0</v>
      </c>
      <c r="HH145" s="39">
        <v>14236</v>
      </c>
      <c r="HI145" s="43"/>
      <c r="HJ145" s="43"/>
      <c r="HK145" s="43"/>
      <c r="HL145" s="43"/>
      <c r="HM145" s="43"/>
      <c r="HN145" s="136"/>
      <c r="HO145" s="136"/>
      <c r="HP145" s="39">
        <f t="shared" si="134"/>
        <v>14236</v>
      </c>
      <c r="HQ145" s="39">
        <f t="shared" si="135"/>
        <v>0</v>
      </c>
      <c r="HR145" s="39"/>
      <c r="HS145" s="39"/>
      <c r="HT145" s="39">
        <v>384</v>
      </c>
      <c r="HU145" s="43">
        <v>384</v>
      </c>
      <c r="HV145" s="39">
        <v>3.555</v>
      </c>
      <c r="HW145" s="39">
        <v>3.555</v>
      </c>
      <c r="HX145" s="39">
        <f t="shared" si="136"/>
        <v>387.555</v>
      </c>
      <c r="HY145" s="39">
        <f t="shared" si="137"/>
        <v>387.555</v>
      </c>
    </row>
    <row r="146" spans="1:233" ht="12.75" customHeight="1">
      <c r="A146" s="15" t="s">
        <v>120</v>
      </c>
      <c r="B146" s="34"/>
      <c r="C146" s="34"/>
      <c r="D146" s="39">
        <f>176+176+177+147+147+147+147+147+147+117.7+117.7+117.6</f>
        <v>1764</v>
      </c>
      <c r="E146" s="39">
        <f>176+176+177+147+147+147+147+147+147+117.7+117.7+117.6</f>
        <v>1764</v>
      </c>
      <c r="F146" s="34"/>
      <c r="G146" s="34"/>
      <c r="H146" s="34"/>
      <c r="I146" s="34"/>
      <c r="J146" s="34"/>
      <c r="K146" s="34"/>
      <c r="L146" s="34"/>
      <c r="M146" s="34"/>
      <c r="N146" s="34"/>
      <c r="O146" s="34"/>
      <c r="P146" s="34"/>
      <c r="Q146" s="34"/>
      <c r="R146" s="39"/>
      <c r="S146" s="39"/>
      <c r="T146" s="39">
        <v>133.32501000000002</v>
      </c>
      <c r="U146" s="39">
        <v>133.32501</v>
      </c>
      <c r="V146" s="39"/>
      <c r="W146" s="34"/>
      <c r="X146" s="34"/>
      <c r="Y146" s="34"/>
      <c r="Z146" s="34"/>
      <c r="AA146" s="34"/>
      <c r="AB146" s="34"/>
      <c r="AC146" s="34"/>
      <c r="AD146" s="34"/>
      <c r="AE146" s="34"/>
      <c r="AF146" s="39">
        <v>0</v>
      </c>
      <c r="AG146" s="34"/>
      <c r="AH146" s="126">
        <f t="shared" si="121"/>
        <v>1897.32501</v>
      </c>
      <c r="AI146" s="126">
        <f t="shared" si="122"/>
        <v>1897.32501</v>
      </c>
      <c r="AJ146" s="43"/>
      <c r="AK146" s="43"/>
      <c r="AL146" s="134"/>
      <c r="AM146" s="41"/>
      <c r="AN146" s="41"/>
      <c r="AO146" s="41"/>
      <c r="AP146" s="41"/>
      <c r="AQ146" s="41"/>
      <c r="AR146" s="39"/>
      <c r="AS146" s="39"/>
      <c r="AT146" s="43"/>
      <c r="AU146" s="43"/>
      <c r="AV146" s="43"/>
      <c r="AW146" s="43"/>
      <c r="AX146" s="43"/>
      <c r="AY146" s="43"/>
      <c r="AZ146" s="39">
        <f t="shared" si="123"/>
        <v>0</v>
      </c>
      <c r="BA146" s="39">
        <f t="shared" si="117"/>
        <v>0</v>
      </c>
      <c r="BB146" s="39">
        <v>0</v>
      </c>
      <c r="BC146" s="39">
        <v>0</v>
      </c>
      <c r="BD146" s="39"/>
      <c r="BE146" s="43"/>
      <c r="BF146" s="43"/>
      <c r="BG146" s="43"/>
      <c r="BH146" s="43"/>
      <c r="BI146" s="43"/>
      <c r="BJ146" s="43"/>
      <c r="BK146" s="43"/>
      <c r="BL146" s="43"/>
      <c r="BM146" s="43"/>
      <c r="BN146" s="45"/>
      <c r="BO146" s="45"/>
      <c r="BP146" s="45"/>
      <c r="BQ146" s="45"/>
      <c r="BR146" s="43"/>
      <c r="BS146" s="43"/>
      <c r="BT146" s="43">
        <v>1335.2</v>
      </c>
      <c r="BU146" s="43">
        <v>1335.2</v>
      </c>
      <c r="BV146" s="43">
        <v>1814.278</v>
      </c>
      <c r="BW146" s="43">
        <v>1814.278</v>
      </c>
      <c r="BX146" s="43"/>
      <c r="BY146" s="45"/>
      <c r="BZ146" s="43"/>
      <c r="CA146" s="45"/>
      <c r="CB146" s="45"/>
      <c r="CC146" s="45"/>
      <c r="CD146" s="45"/>
      <c r="CE146" s="45"/>
      <c r="CF146" s="39">
        <f t="shared" si="124"/>
        <v>3149.478</v>
      </c>
      <c r="CG146" s="39">
        <f t="shared" si="125"/>
        <v>3149.478</v>
      </c>
      <c r="CH146" s="39"/>
      <c r="CI146" s="39"/>
      <c r="CJ146" s="39"/>
      <c r="CK146" s="45"/>
      <c r="CL146" s="45"/>
      <c r="CM146" s="43"/>
      <c r="CN146" s="43"/>
      <c r="CO146" s="43"/>
      <c r="CP146" s="43">
        <v>566.5</v>
      </c>
      <c r="CQ146" s="43">
        <v>548.031</v>
      </c>
      <c r="CR146" s="43">
        <v>1933.5</v>
      </c>
      <c r="CS146" s="43">
        <v>1876.67</v>
      </c>
      <c r="CT146" s="43"/>
      <c r="CU146" s="45"/>
      <c r="CV146" s="45"/>
      <c r="CW146" s="43"/>
      <c r="CX146" s="43"/>
      <c r="CY146" s="43"/>
      <c r="CZ146" s="39">
        <v>285.205</v>
      </c>
      <c r="DA146" s="39">
        <v>282.15</v>
      </c>
      <c r="DB146" s="43"/>
      <c r="DC146" s="43"/>
      <c r="DD146" s="43"/>
      <c r="DE146" s="43"/>
      <c r="DF146" s="39">
        <f t="shared" si="126"/>
        <v>2785.205</v>
      </c>
      <c r="DG146" s="39">
        <f t="shared" si="127"/>
        <v>2706.851</v>
      </c>
      <c r="DH146" s="39">
        <v>369.88</v>
      </c>
      <c r="DI146" s="39">
        <v>369.88</v>
      </c>
      <c r="DJ146" s="39">
        <v>369.88</v>
      </c>
      <c r="DK146" s="39">
        <f t="shared" si="118"/>
        <v>369.88</v>
      </c>
      <c r="DL146" s="39"/>
      <c r="DM146" s="39"/>
      <c r="DN146" s="43"/>
      <c r="DO146" s="43"/>
      <c r="DP146" s="39">
        <f t="shared" si="128"/>
        <v>0</v>
      </c>
      <c r="DQ146" s="39">
        <f t="shared" si="119"/>
        <v>0</v>
      </c>
      <c r="DR146" s="39"/>
      <c r="DS146" s="39"/>
      <c r="DT146" s="43"/>
      <c r="DU146" s="43"/>
      <c r="DV146" s="43"/>
      <c r="DW146" s="43"/>
      <c r="DX146" s="43"/>
      <c r="DY146" s="43"/>
      <c r="DZ146" s="39"/>
      <c r="EA146" s="39"/>
      <c r="EB146" s="43"/>
      <c r="EC146" s="43"/>
      <c r="ED146" s="43"/>
      <c r="EE146" s="43"/>
      <c r="EF146" s="39"/>
      <c r="EG146" s="43"/>
      <c r="EH146" s="43">
        <v>2343.2</v>
      </c>
      <c r="EI146" s="39">
        <v>2343.2</v>
      </c>
      <c r="EJ146" s="39">
        <v>0</v>
      </c>
      <c r="EK146" s="43">
        <v>0</v>
      </c>
      <c r="EL146" s="43"/>
      <c r="EM146" s="43"/>
      <c r="EN146" s="45"/>
      <c r="EO146" s="45"/>
      <c r="EP146" s="43"/>
      <c r="EQ146" s="43"/>
      <c r="ER146" s="43">
        <v>22600</v>
      </c>
      <c r="ES146" s="43">
        <v>22600</v>
      </c>
      <c r="ET146" s="135">
        <v>5150</v>
      </c>
      <c r="EU146" s="135">
        <v>5150</v>
      </c>
      <c r="EV146" s="135"/>
      <c r="EW146" s="135"/>
      <c r="EX146" s="43"/>
      <c r="EY146" s="43"/>
      <c r="EZ146" s="43"/>
      <c r="FA146" s="43"/>
      <c r="FB146" s="37">
        <f t="shared" si="129"/>
        <v>30093.2</v>
      </c>
      <c r="FC146" s="37">
        <f t="shared" si="130"/>
        <v>30093.2</v>
      </c>
      <c r="FD146" s="39"/>
      <c r="FE146" s="39"/>
      <c r="FF146" s="43"/>
      <c r="FG146" s="43"/>
      <c r="FH146" s="132">
        <f t="shared" si="131"/>
        <v>0</v>
      </c>
      <c r="FI146" s="132">
        <f t="shared" si="120"/>
        <v>0</v>
      </c>
      <c r="FJ146" s="39"/>
      <c r="FK146" s="39"/>
      <c r="FL146" s="43"/>
      <c r="FM146" s="43"/>
      <c r="FN146" s="43"/>
      <c r="FO146" s="43"/>
      <c r="FP146" s="43"/>
      <c r="FQ146" s="43"/>
      <c r="FR146" s="39"/>
      <c r="FS146" s="135"/>
      <c r="FT146" s="43"/>
      <c r="FU146" s="43"/>
      <c r="FV146" s="43"/>
      <c r="FW146" s="43"/>
      <c r="FX146" s="43"/>
      <c r="FY146" s="43"/>
      <c r="FZ146" s="43"/>
      <c r="GA146" s="43"/>
      <c r="GB146" s="43"/>
      <c r="GC146" s="43"/>
      <c r="GD146" s="135"/>
      <c r="GE146" s="135"/>
      <c r="GF146" s="43"/>
      <c r="GG146" s="43"/>
      <c r="GH146" s="43"/>
      <c r="GI146" s="43"/>
      <c r="GJ146" s="43"/>
      <c r="GK146" s="43"/>
      <c r="GL146" s="43"/>
      <c r="GM146" s="43"/>
      <c r="GN146" s="43"/>
      <c r="GO146" s="43"/>
      <c r="GP146" s="43"/>
      <c r="GQ146" s="43"/>
      <c r="GR146" s="43"/>
      <c r="GS146" s="43"/>
      <c r="GT146" s="43"/>
      <c r="GU146" s="43"/>
      <c r="GV146" s="43"/>
      <c r="GW146" s="43"/>
      <c r="GX146" s="45"/>
      <c r="GY146" s="45"/>
      <c r="GZ146" s="43"/>
      <c r="HA146" s="43"/>
      <c r="HB146" s="43"/>
      <c r="HC146" s="43"/>
      <c r="HD146" s="39">
        <f t="shared" si="132"/>
        <v>0</v>
      </c>
      <c r="HE146" s="39">
        <f t="shared" si="133"/>
        <v>0</v>
      </c>
      <c r="HF146" s="39"/>
      <c r="HG146" s="39"/>
      <c r="HH146" s="39"/>
      <c r="HI146" s="43"/>
      <c r="HJ146" s="43"/>
      <c r="HK146" s="43"/>
      <c r="HL146" s="43"/>
      <c r="HM146" s="43"/>
      <c r="HN146" s="136"/>
      <c r="HO146" s="136"/>
      <c r="HP146" s="39">
        <f t="shared" si="134"/>
        <v>0</v>
      </c>
      <c r="HQ146" s="39">
        <f t="shared" si="135"/>
        <v>0</v>
      </c>
      <c r="HR146" s="39"/>
      <c r="HS146" s="39"/>
      <c r="HT146" s="39"/>
      <c r="HU146" s="43"/>
      <c r="HV146" s="39"/>
      <c r="HW146" s="39"/>
      <c r="HX146" s="39">
        <f t="shared" si="136"/>
        <v>0</v>
      </c>
      <c r="HY146" s="39">
        <f t="shared" si="137"/>
        <v>0</v>
      </c>
    </row>
    <row r="147" spans="1:233" ht="12.75">
      <c r="A147" s="15" t="s">
        <v>287</v>
      </c>
      <c r="B147" s="34"/>
      <c r="C147" s="34"/>
      <c r="D147" s="39">
        <f>303+303+304+253+253+253+253+253+253+202.3+202.4+202.3</f>
        <v>3035.0000000000005</v>
      </c>
      <c r="E147" s="39">
        <f>303+303+304+253+253+253+253+253+253+202.3+202.4+202.3</f>
        <v>3035.0000000000005</v>
      </c>
      <c r="F147" s="34"/>
      <c r="G147" s="34"/>
      <c r="H147" s="34"/>
      <c r="I147" s="34"/>
      <c r="J147" s="34"/>
      <c r="K147" s="34"/>
      <c r="L147" s="34"/>
      <c r="M147" s="34"/>
      <c r="N147" s="34"/>
      <c r="O147" s="34"/>
      <c r="P147" s="34"/>
      <c r="Q147" s="34"/>
      <c r="R147" s="39"/>
      <c r="S147" s="39"/>
      <c r="T147" s="39">
        <v>5.51659</v>
      </c>
      <c r="U147" s="39">
        <v>5.51659</v>
      </c>
      <c r="V147" s="39"/>
      <c r="W147" s="34"/>
      <c r="X147" s="34"/>
      <c r="Y147" s="34"/>
      <c r="Z147" s="34"/>
      <c r="AA147" s="34"/>
      <c r="AB147" s="34"/>
      <c r="AC147" s="34"/>
      <c r="AD147" s="34"/>
      <c r="AE147" s="34"/>
      <c r="AF147" s="39">
        <v>290</v>
      </c>
      <c r="AG147" s="48">
        <f>24.2+24.2+24.2+24.2+24.2+24.2+24.2+24.2+24.2+24.2+24+24</f>
        <v>289.99999999999994</v>
      </c>
      <c r="AH147" s="126">
        <f t="shared" si="121"/>
        <v>3330.5165900000006</v>
      </c>
      <c r="AI147" s="126">
        <f t="shared" si="122"/>
        <v>3330.5165900000006</v>
      </c>
      <c r="AJ147" s="43"/>
      <c r="AK147" s="43"/>
      <c r="AL147" s="134"/>
      <c r="AM147" s="41"/>
      <c r="AN147" s="41"/>
      <c r="AO147" s="41"/>
      <c r="AP147" s="41"/>
      <c r="AQ147" s="41"/>
      <c r="AR147" s="39"/>
      <c r="AS147" s="39"/>
      <c r="AT147" s="43"/>
      <c r="AU147" s="43"/>
      <c r="AV147" s="43"/>
      <c r="AW147" s="43"/>
      <c r="AX147" s="43"/>
      <c r="AY147" s="43"/>
      <c r="AZ147" s="39">
        <f t="shared" si="123"/>
        <v>0</v>
      </c>
      <c r="BA147" s="39">
        <f t="shared" si="117"/>
        <v>0</v>
      </c>
      <c r="BB147" s="39">
        <v>0</v>
      </c>
      <c r="BC147" s="39">
        <v>0</v>
      </c>
      <c r="BD147" s="39">
        <v>300</v>
      </c>
      <c r="BE147" s="43">
        <v>155.441</v>
      </c>
      <c r="BF147" s="43"/>
      <c r="BG147" s="43"/>
      <c r="BH147" s="43"/>
      <c r="BI147" s="43"/>
      <c r="BJ147" s="43"/>
      <c r="BK147" s="43"/>
      <c r="BL147" s="43"/>
      <c r="BM147" s="43"/>
      <c r="BN147" s="45"/>
      <c r="BO147" s="45"/>
      <c r="BP147" s="43">
        <v>15347.5</v>
      </c>
      <c r="BQ147" s="43">
        <v>14555.614</v>
      </c>
      <c r="BR147" s="43"/>
      <c r="BS147" s="43"/>
      <c r="BT147" s="43"/>
      <c r="BU147" s="43"/>
      <c r="BV147" s="45"/>
      <c r="BW147" s="45"/>
      <c r="BX147" s="43"/>
      <c r="BY147" s="45"/>
      <c r="BZ147" s="43"/>
      <c r="CA147" s="45"/>
      <c r="CB147" s="45"/>
      <c r="CC147" s="45"/>
      <c r="CD147" s="45"/>
      <c r="CE147" s="45"/>
      <c r="CF147" s="39">
        <f t="shared" si="124"/>
        <v>15647.5</v>
      </c>
      <c r="CG147" s="39">
        <f t="shared" si="125"/>
        <v>14711.055</v>
      </c>
      <c r="CH147" s="39"/>
      <c r="CI147" s="39"/>
      <c r="CJ147" s="39"/>
      <c r="CK147" s="45"/>
      <c r="CL147" s="45"/>
      <c r="CM147" s="43"/>
      <c r="CN147" s="43"/>
      <c r="CO147" s="43"/>
      <c r="CP147" s="43"/>
      <c r="CQ147" s="39"/>
      <c r="CR147" s="43"/>
      <c r="CS147" s="45"/>
      <c r="CT147" s="45"/>
      <c r="CU147" s="45"/>
      <c r="CV147" s="45"/>
      <c r="CW147" s="43"/>
      <c r="CX147" s="43"/>
      <c r="CY147" s="43"/>
      <c r="CZ147" s="39"/>
      <c r="DA147" s="45"/>
      <c r="DB147" s="43"/>
      <c r="DC147" s="43"/>
      <c r="DD147" s="43"/>
      <c r="DE147" s="43"/>
      <c r="DF147" s="39">
        <f t="shared" si="126"/>
        <v>0</v>
      </c>
      <c r="DG147" s="39">
        <f t="shared" si="127"/>
        <v>0</v>
      </c>
      <c r="DH147" s="39"/>
      <c r="DI147" s="39"/>
      <c r="DJ147" s="39">
        <v>0</v>
      </c>
      <c r="DK147" s="39">
        <f t="shared" si="118"/>
        <v>0</v>
      </c>
      <c r="DL147" s="39"/>
      <c r="DM147" s="39"/>
      <c r="DN147" s="43"/>
      <c r="DO147" s="43"/>
      <c r="DP147" s="39">
        <f t="shared" si="128"/>
        <v>0</v>
      </c>
      <c r="DQ147" s="39">
        <f t="shared" si="119"/>
        <v>0</v>
      </c>
      <c r="DR147" s="39"/>
      <c r="DS147" s="39"/>
      <c r="DT147" s="43"/>
      <c r="DU147" s="43"/>
      <c r="DV147" s="43"/>
      <c r="DW147" s="43"/>
      <c r="DX147" s="43"/>
      <c r="DY147" s="43"/>
      <c r="DZ147" s="39"/>
      <c r="EA147" s="39"/>
      <c r="EB147" s="43"/>
      <c r="EC147" s="43"/>
      <c r="ED147" s="43"/>
      <c r="EE147" s="43"/>
      <c r="EF147" s="39"/>
      <c r="EG147" s="43"/>
      <c r="EH147" s="43">
        <v>2897</v>
      </c>
      <c r="EI147" s="39">
        <v>2897</v>
      </c>
      <c r="EJ147" s="39">
        <v>248</v>
      </c>
      <c r="EK147" s="43">
        <v>196</v>
      </c>
      <c r="EL147" s="43"/>
      <c r="EM147" s="43"/>
      <c r="EN147" s="45"/>
      <c r="EO147" s="45"/>
      <c r="EP147" s="43"/>
      <c r="EQ147" s="43"/>
      <c r="ER147" s="43"/>
      <c r="ES147" s="43"/>
      <c r="ET147" s="135"/>
      <c r="EU147" s="135"/>
      <c r="EV147" s="135"/>
      <c r="EW147" s="135"/>
      <c r="EX147" s="43"/>
      <c r="EY147" s="43"/>
      <c r="EZ147" s="43"/>
      <c r="FA147" s="43"/>
      <c r="FB147" s="37">
        <f t="shared" si="129"/>
        <v>3145</v>
      </c>
      <c r="FC147" s="37">
        <f t="shared" si="130"/>
        <v>3093</v>
      </c>
      <c r="FD147" s="39"/>
      <c r="FE147" s="39"/>
      <c r="FF147" s="43"/>
      <c r="FG147" s="43"/>
      <c r="FH147" s="132">
        <f t="shared" si="131"/>
        <v>0</v>
      </c>
      <c r="FI147" s="132">
        <f t="shared" si="120"/>
        <v>0</v>
      </c>
      <c r="FJ147" s="39"/>
      <c r="FK147" s="39"/>
      <c r="FL147" s="43"/>
      <c r="FM147" s="43"/>
      <c r="FN147" s="43"/>
      <c r="FO147" s="43"/>
      <c r="FP147" s="43"/>
      <c r="FQ147" s="43"/>
      <c r="FR147" s="39"/>
      <c r="FS147" s="135"/>
      <c r="FT147" s="43"/>
      <c r="FU147" s="43"/>
      <c r="FV147" s="43"/>
      <c r="FW147" s="43"/>
      <c r="FX147" s="43"/>
      <c r="FY147" s="43"/>
      <c r="FZ147" s="43"/>
      <c r="GA147" s="43"/>
      <c r="GB147" s="43"/>
      <c r="GC147" s="43"/>
      <c r="GD147" s="135"/>
      <c r="GE147" s="135"/>
      <c r="GF147" s="43"/>
      <c r="GG147" s="43"/>
      <c r="GH147" s="43"/>
      <c r="GI147" s="43"/>
      <c r="GJ147" s="43"/>
      <c r="GK147" s="43"/>
      <c r="GL147" s="43"/>
      <c r="GM147" s="43"/>
      <c r="GN147" s="43"/>
      <c r="GO147" s="43"/>
      <c r="GP147" s="43"/>
      <c r="GQ147" s="43"/>
      <c r="GR147" s="43"/>
      <c r="GS147" s="43"/>
      <c r="GT147" s="43"/>
      <c r="GU147" s="43"/>
      <c r="GV147" s="43"/>
      <c r="GW147" s="43"/>
      <c r="GX147" s="45"/>
      <c r="GY147" s="45"/>
      <c r="GZ147" s="43"/>
      <c r="HA147" s="43"/>
      <c r="HB147" s="43"/>
      <c r="HC147" s="43"/>
      <c r="HD147" s="39">
        <f t="shared" si="132"/>
        <v>0</v>
      </c>
      <c r="HE147" s="39">
        <f t="shared" si="133"/>
        <v>0</v>
      </c>
      <c r="HF147" s="39"/>
      <c r="HG147" s="39"/>
      <c r="HH147" s="39"/>
      <c r="HI147" s="43"/>
      <c r="HJ147" s="43"/>
      <c r="HK147" s="43"/>
      <c r="HL147" s="43"/>
      <c r="HM147" s="43"/>
      <c r="HN147" s="136"/>
      <c r="HO147" s="136"/>
      <c r="HP147" s="39">
        <f t="shared" si="134"/>
        <v>0</v>
      </c>
      <c r="HQ147" s="39">
        <f t="shared" si="135"/>
        <v>0</v>
      </c>
      <c r="HR147" s="39"/>
      <c r="HS147" s="39"/>
      <c r="HT147" s="39"/>
      <c r="HU147" s="43"/>
      <c r="HV147" s="39"/>
      <c r="HW147" s="39"/>
      <c r="HX147" s="39">
        <f t="shared" si="136"/>
        <v>0</v>
      </c>
      <c r="HY147" s="39">
        <f t="shared" si="137"/>
        <v>0</v>
      </c>
    </row>
    <row r="148" spans="1:233" ht="12.75" customHeight="1">
      <c r="A148" s="15" t="s">
        <v>288</v>
      </c>
      <c r="B148" s="34"/>
      <c r="C148" s="34"/>
      <c r="D148" s="39">
        <f>423+423+424+353+353+352+353+353+352+282+282+282</f>
        <v>4232</v>
      </c>
      <c r="E148" s="39">
        <f>423+423+424+353+353+352+353+353+352+282+282+282</f>
        <v>4232</v>
      </c>
      <c r="F148" s="34"/>
      <c r="G148" s="34"/>
      <c r="H148" s="34"/>
      <c r="I148" s="34"/>
      <c r="J148" s="34"/>
      <c r="K148" s="34"/>
      <c r="L148" s="34"/>
      <c r="M148" s="34"/>
      <c r="N148" s="34"/>
      <c r="O148" s="34"/>
      <c r="P148" s="34"/>
      <c r="Q148" s="34"/>
      <c r="R148" s="39">
        <v>35</v>
      </c>
      <c r="S148" s="39">
        <f>32.58441</f>
        <v>32.58441</v>
      </c>
      <c r="T148" s="39">
        <v>10.01829</v>
      </c>
      <c r="U148" s="39">
        <v>10.01829</v>
      </c>
      <c r="V148" s="39"/>
      <c r="W148" s="34"/>
      <c r="X148" s="34"/>
      <c r="Y148" s="34"/>
      <c r="Z148" s="34"/>
      <c r="AA148" s="34"/>
      <c r="AB148" s="34"/>
      <c r="AC148" s="34"/>
      <c r="AD148" s="34"/>
      <c r="AE148" s="34"/>
      <c r="AF148" s="39">
        <v>147</v>
      </c>
      <c r="AG148" s="48">
        <f>12.3+12.3+12.3+12.3+12.3+25.1+15+7+7+31.4</f>
        <v>147</v>
      </c>
      <c r="AH148" s="126">
        <f t="shared" si="121"/>
        <v>4424.01829</v>
      </c>
      <c r="AI148" s="126">
        <f t="shared" si="122"/>
        <v>4421.6027</v>
      </c>
      <c r="AJ148" s="43"/>
      <c r="AK148" s="43"/>
      <c r="AL148" s="134"/>
      <c r="AM148" s="41"/>
      <c r="AN148" s="41"/>
      <c r="AO148" s="41"/>
      <c r="AP148" s="41"/>
      <c r="AQ148" s="41"/>
      <c r="AR148" s="39"/>
      <c r="AS148" s="39"/>
      <c r="AT148" s="43"/>
      <c r="AU148" s="43"/>
      <c r="AV148" s="43"/>
      <c r="AW148" s="43"/>
      <c r="AX148" s="43"/>
      <c r="AY148" s="43"/>
      <c r="AZ148" s="39">
        <f t="shared" si="123"/>
        <v>0</v>
      </c>
      <c r="BA148" s="39">
        <f t="shared" si="117"/>
        <v>0</v>
      </c>
      <c r="BB148" s="39">
        <v>0</v>
      </c>
      <c r="BC148" s="39">
        <v>0</v>
      </c>
      <c r="BD148" s="39">
        <v>163</v>
      </c>
      <c r="BE148" s="43"/>
      <c r="BF148" s="43"/>
      <c r="BG148" s="43"/>
      <c r="BH148" s="43"/>
      <c r="BI148" s="43"/>
      <c r="BJ148" s="43"/>
      <c r="BK148" s="43"/>
      <c r="BL148" s="43"/>
      <c r="BM148" s="43"/>
      <c r="BN148" s="45"/>
      <c r="BO148" s="45"/>
      <c r="BP148" s="45"/>
      <c r="BQ148" s="45"/>
      <c r="BR148" s="43"/>
      <c r="BS148" s="43"/>
      <c r="BT148" s="43"/>
      <c r="BU148" s="43"/>
      <c r="BV148" s="45"/>
      <c r="BW148" s="45"/>
      <c r="BX148" s="43"/>
      <c r="BY148" s="45"/>
      <c r="BZ148" s="43"/>
      <c r="CA148" s="45"/>
      <c r="CB148" s="45"/>
      <c r="CC148" s="45"/>
      <c r="CD148" s="45"/>
      <c r="CE148" s="45"/>
      <c r="CF148" s="39">
        <f t="shared" si="124"/>
        <v>163</v>
      </c>
      <c r="CG148" s="39">
        <f t="shared" si="125"/>
        <v>0</v>
      </c>
      <c r="CH148" s="39"/>
      <c r="CI148" s="39"/>
      <c r="CJ148" s="39"/>
      <c r="CK148" s="45"/>
      <c r="CL148" s="45"/>
      <c r="CM148" s="43"/>
      <c r="CN148" s="43"/>
      <c r="CO148" s="43"/>
      <c r="CP148" s="43"/>
      <c r="CQ148" s="39"/>
      <c r="CR148" s="43"/>
      <c r="CS148" s="45"/>
      <c r="CT148" s="45"/>
      <c r="CU148" s="45"/>
      <c r="CV148" s="45"/>
      <c r="CW148" s="43"/>
      <c r="CX148" s="43"/>
      <c r="CY148" s="43"/>
      <c r="CZ148" s="39">
        <v>28.52</v>
      </c>
      <c r="DA148" s="39">
        <v>28.52</v>
      </c>
      <c r="DB148" s="43"/>
      <c r="DC148" s="43"/>
      <c r="DD148" s="43"/>
      <c r="DE148" s="43"/>
      <c r="DF148" s="39">
        <f t="shared" si="126"/>
        <v>28.52</v>
      </c>
      <c r="DG148" s="39">
        <f t="shared" si="127"/>
        <v>28.52</v>
      </c>
      <c r="DH148" s="39"/>
      <c r="DI148" s="39"/>
      <c r="DJ148" s="39">
        <v>0</v>
      </c>
      <c r="DK148" s="39">
        <f t="shared" si="118"/>
        <v>0</v>
      </c>
      <c r="DL148" s="39"/>
      <c r="DM148" s="39"/>
      <c r="DN148" s="43"/>
      <c r="DO148" s="43"/>
      <c r="DP148" s="39">
        <f t="shared" si="128"/>
        <v>0</v>
      </c>
      <c r="DQ148" s="39">
        <f t="shared" si="119"/>
        <v>0</v>
      </c>
      <c r="DR148" s="39"/>
      <c r="DS148" s="39"/>
      <c r="DT148" s="43"/>
      <c r="DU148" s="43"/>
      <c r="DV148" s="43"/>
      <c r="DW148" s="43"/>
      <c r="DX148" s="43"/>
      <c r="DY148" s="43"/>
      <c r="DZ148" s="39"/>
      <c r="EA148" s="39"/>
      <c r="EB148" s="43"/>
      <c r="EC148" s="43"/>
      <c r="ED148" s="43"/>
      <c r="EE148" s="43"/>
      <c r="EF148" s="39">
        <v>460</v>
      </c>
      <c r="EG148" s="43">
        <v>460</v>
      </c>
      <c r="EH148" s="43">
        <v>2864</v>
      </c>
      <c r="EI148" s="39">
        <v>2864</v>
      </c>
      <c r="EJ148" s="39">
        <v>371</v>
      </c>
      <c r="EK148" s="43">
        <v>371</v>
      </c>
      <c r="EL148" s="43"/>
      <c r="EM148" s="43"/>
      <c r="EN148" s="45"/>
      <c r="EO148" s="45"/>
      <c r="EP148" s="43"/>
      <c r="EQ148" s="43"/>
      <c r="ER148" s="43"/>
      <c r="ES148" s="43"/>
      <c r="ET148" s="135"/>
      <c r="EU148" s="135"/>
      <c r="EV148" s="135"/>
      <c r="EW148" s="135"/>
      <c r="EX148" s="43"/>
      <c r="EY148" s="43"/>
      <c r="EZ148" s="43"/>
      <c r="FA148" s="43"/>
      <c r="FB148" s="37">
        <f t="shared" si="129"/>
        <v>3695</v>
      </c>
      <c r="FC148" s="37">
        <f t="shared" si="130"/>
        <v>3695</v>
      </c>
      <c r="FD148" s="39"/>
      <c r="FE148" s="39"/>
      <c r="FF148" s="43"/>
      <c r="FG148" s="43"/>
      <c r="FH148" s="132">
        <f t="shared" si="131"/>
        <v>0</v>
      </c>
      <c r="FI148" s="132">
        <f t="shared" si="120"/>
        <v>0</v>
      </c>
      <c r="FJ148" s="39"/>
      <c r="FK148" s="39"/>
      <c r="FL148" s="43"/>
      <c r="FM148" s="43"/>
      <c r="FN148" s="43"/>
      <c r="FO148" s="43"/>
      <c r="FP148" s="43"/>
      <c r="FQ148" s="43"/>
      <c r="FR148" s="39"/>
      <c r="FS148" s="135"/>
      <c r="FT148" s="43"/>
      <c r="FU148" s="43"/>
      <c r="FV148" s="43"/>
      <c r="FW148" s="43"/>
      <c r="FX148" s="43"/>
      <c r="FY148" s="43"/>
      <c r="FZ148" s="43"/>
      <c r="GA148" s="43"/>
      <c r="GB148" s="43"/>
      <c r="GC148" s="43"/>
      <c r="GD148" s="135"/>
      <c r="GE148" s="135"/>
      <c r="GF148" s="43"/>
      <c r="GG148" s="43"/>
      <c r="GH148" s="43"/>
      <c r="GI148" s="43"/>
      <c r="GJ148" s="43"/>
      <c r="GK148" s="43"/>
      <c r="GL148" s="43"/>
      <c r="GM148" s="43"/>
      <c r="GN148" s="43"/>
      <c r="GO148" s="43"/>
      <c r="GP148" s="43"/>
      <c r="GQ148" s="43"/>
      <c r="GR148" s="43"/>
      <c r="GS148" s="43"/>
      <c r="GT148" s="43"/>
      <c r="GU148" s="43"/>
      <c r="GV148" s="43"/>
      <c r="GW148" s="43"/>
      <c r="GX148" s="45"/>
      <c r="GY148" s="45"/>
      <c r="GZ148" s="43"/>
      <c r="HA148" s="43"/>
      <c r="HB148" s="43"/>
      <c r="HC148" s="43"/>
      <c r="HD148" s="39">
        <f t="shared" si="132"/>
        <v>0</v>
      </c>
      <c r="HE148" s="39">
        <f t="shared" si="133"/>
        <v>0</v>
      </c>
      <c r="HF148" s="39"/>
      <c r="HG148" s="39"/>
      <c r="HH148" s="39"/>
      <c r="HI148" s="43"/>
      <c r="HJ148" s="43"/>
      <c r="HK148" s="43"/>
      <c r="HL148" s="43"/>
      <c r="HM148" s="43"/>
      <c r="HN148" s="136"/>
      <c r="HO148" s="136"/>
      <c r="HP148" s="39">
        <f t="shared" si="134"/>
        <v>0</v>
      </c>
      <c r="HQ148" s="39">
        <f t="shared" si="135"/>
        <v>0</v>
      </c>
      <c r="HR148" s="39"/>
      <c r="HS148" s="39"/>
      <c r="HT148" s="39"/>
      <c r="HU148" s="43"/>
      <c r="HV148" s="39"/>
      <c r="HW148" s="39"/>
      <c r="HX148" s="39">
        <f t="shared" si="136"/>
        <v>0</v>
      </c>
      <c r="HY148" s="39">
        <f t="shared" si="137"/>
        <v>0</v>
      </c>
    </row>
    <row r="149" spans="1:233" ht="12.75">
      <c r="A149" s="15" t="s">
        <v>289</v>
      </c>
      <c r="B149" s="34"/>
      <c r="C149" s="34"/>
      <c r="D149" s="39">
        <f>365+365+365+304+304+304+304+304+304+243.7+243.7+243.6</f>
        <v>3649.9999999999995</v>
      </c>
      <c r="E149" s="39">
        <f>365+365+365+304+304+304+304+304+304+243.7+243.7+243.6</f>
        <v>3649.9999999999995</v>
      </c>
      <c r="F149" s="34"/>
      <c r="G149" s="34"/>
      <c r="H149" s="34"/>
      <c r="I149" s="34"/>
      <c r="J149" s="34"/>
      <c r="K149" s="34"/>
      <c r="L149" s="34"/>
      <c r="M149" s="34"/>
      <c r="N149" s="34"/>
      <c r="O149" s="34"/>
      <c r="P149" s="34"/>
      <c r="Q149" s="34"/>
      <c r="R149" s="39">
        <v>260</v>
      </c>
      <c r="S149" s="39">
        <v>260</v>
      </c>
      <c r="T149" s="39">
        <v>1199.87982</v>
      </c>
      <c r="U149" s="39">
        <f>87.66982+1112.21</f>
        <v>1199.87982</v>
      </c>
      <c r="V149" s="39">
        <v>50</v>
      </c>
      <c r="W149" s="39">
        <v>50</v>
      </c>
      <c r="X149" s="34"/>
      <c r="Y149" s="34"/>
      <c r="Z149" s="34"/>
      <c r="AA149" s="34"/>
      <c r="AB149" s="34"/>
      <c r="AC149" s="34"/>
      <c r="AD149" s="34"/>
      <c r="AE149" s="34"/>
      <c r="AF149" s="39">
        <v>147</v>
      </c>
      <c r="AG149" s="48">
        <f>12.3+12.3+12.3+12.3+12.3+12.3+15+15.1+13.8+14+15.3</f>
        <v>147</v>
      </c>
      <c r="AH149" s="126">
        <f t="shared" si="121"/>
        <v>5306.87982</v>
      </c>
      <c r="AI149" s="126">
        <f t="shared" si="122"/>
        <v>5306.87982</v>
      </c>
      <c r="AJ149" s="43"/>
      <c r="AK149" s="43"/>
      <c r="AL149" s="134"/>
      <c r="AM149" s="41"/>
      <c r="AN149" s="41"/>
      <c r="AO149" s="41"/>
      <c r="AP149" s="41"/>
      <c r="AQ149" s="41"/>
      <c r="AR149" s="39"/>
      <c r="AS149" s="39"/>
      <c r="AT149" s="43"/>
      <c r="AU149" s="43"/>
      <c r="AV149" s="43"/>
      <c r="AW149" s="43"/>
      <c r="AX149" s="43"/>
      <c r="AY149" s="43"/>
      <c r="AZ149" s="39">
        <f t="shared" si="123"/>
        <v>0</v>
      </c>
      <c r="BA149" s="39">
        <f t="shared" si="117"/>
        <v>0</v>
      </c>
      <c r="BB149" s="39">
        <v>0</v>
      </c>
      <c r="BC149" s="39">
        <v>0</v>
      </c>
      <c r="BD149" s="39"/>
      <c r="BE149" s="43"/>
      <c r="BF149" s="43"/>
      <c r="BG149" s="43"/>
      <c r="BH149" s="43"/>
      <c r="BI149" s="43"/>
      <c r="BJ149" s="43"/>
      <c r="BK149" s="43"/>
      <c r="BL149" s="43"/>
      <c r="BM149" s="43"/>
      <c r="BN149" s="45"/>
      <c r="BO149" s="45"/>
      <c r="BP149" s="45"/>
      <c r="BQ149" s="45"/>
      <c r="BR149" s="43"/>
      <c r="BS149" s="43"/>
      <c r="BT149" s="43"/>
      <c r="BU149" s="43"/>
      <c r="BV149" s="45"/>
      <c r="BW149" s="45"/>
      <c r="BX149" s="43"/>
      <c r="BY149" s="45"/>
      <c r="BZ149" s="43"/>
      <c r="CA149" s="45"/>
      <c r="CB149" s="45"/>
      <c r="CC149" s="45"/>
      <c r="CD149" s="45"/>
      <c r="CE149" s="45"/>
      <c r="CF149" s="39">
        <f t="shared" si="124"/>
        <v>0</v>
      </c>
      <c r="CG149" s="39">
        <f t="shared" si="125"/>
        <v>0</v>
      </c>
      <c r="CH149" s="39"/>
      <c r="CI149" s="39"/>
      <c r="CJ149" s="39"/>
      <c r="CK149" s="45"/>
      <c r="CL149" s="45"/>
      <c r="CM149" s="43"/>
      <c r="CN149" s="43"/>
      <c r="CO149" s="43"/>
      <c r="CP149" s="43"/>
      <c r="CQ149" s="39"/>
      <c r="CR149" s="43"/>
      <c r="CS149" s="45"/>
      <c r="CT149" s="45"/>
      <c r="CU149" s="45"/>
      <c r="CV149" s="45"/>
      <c r="CW149" s="43"/>
      <c r="CX149" s="43"/>
      <c r="CY149" s="43"/>
      <c r="CZ149" s="39"/>
      <c r="DA149" s="45"/>
      <c r="DB149" s="43"/>
      <c r="DC149" s="43"/>
      <c r="DD149" s="43"/>
      <c r="DE149" s="43"/>
      <c r="DF149" s="39">
        <f t="shared" si="126"/>
        <v>0</v>
      </c>
      <c r="DG149" s="39">
        <f t="shared" si="127"/>
        <v>0</v>
      </c>
      <c r="DH149" s="39"/>
      <c r="DI149" s="39"/>
      <c r="DJ149" s="39">
        <v>0</v>
      </c>
      <c r="DK149" s="39">
        <f t="shared" si="118"/>
        <v>0</v>
      </c>
      <c r="DL149" s="39"/>
      <c r="DM149" s="39"/>
      <c r="DN149" s="43"/>
      <c r="DO149" s="43"/>
      <c r="DP149" s="39">
        <f t="shared" si="128"/>
        <v>0</v>
      </c>
      <c r="DQ149" s="39">
        <f t="shared" si="119"/>
        <v>0</v>
      </c>
      <c r="DR149" s="39"/>
      <c r="DS149" s="39"/>
      <c r="DT149" s="43"/>
      <c r="DU149" s="43"/>
      <c r="DV149" s="43"/>
      <c r="DW149" s="43"/>
      <c r="DX149" s="43"/>
      <c r="DY149" s="43"/>
      <c r="DZ149" s="39"/>
      <c r="EA149" s="39"/>
      <c r="EB149" s="43"/>
      <c r="EC149" s="43"/>
      <c r="ED149" s="43"/>
      <c r="EE149" s="43"/>
      <c r="EF149" s="39"/>
      <c r="EG149" s="43"/>
      <c r="EH149" s="43">
        <v>2208</v>
      </c>
      <c r="EI149" s="39">
        <v>2208</v>
      </c>
      <c r="EJ149" s="39">
        <v>384</v>
      </c>
      <c r="EK149" s="43">
        <v>384</v>
      </c>
      <c r="EL149" s="43"/>
      <c r="EM149" s="43"/>
      <c r="EN149" s="45"/>
      <c r="EO149" s="45"/>
      <c r="EP149" s="43"/>
      <c r="EQ149" s="43"/>
      <c r="ER149" s="43"/>
      <c r="ES149" s="43"/>
      <c r="ET149" s="135"/>
      <c r="EU149" s="135"/>
      <c r="EV149" s="135"/>
      <c r="EW149" s="135"/>
      <c r="EX149" s="43"/>
      <c r="EY149" s="43"/>
      <c r="EZ149" s="43"/>
      <c r="FA149" s="43"/>
      <c r="FB149" s="37">
        <f t="shared" si="129"/>
        <v>2592</v>
      </c>
      <c r="FC149" s="37">
        <f t="shared" si="130"/>
        <v>2592</v>
      </c>
      <c r="FD149" s="39"/>
      <c r="FE149" s="39"/>
      <c r="FF149" s="43"/>
      <c r="FG149" s="43"/>
      <c r="FH149" s="132">
        <f t="shared" si="131"/>
        <v>0</v>
      </c>
      <c r="FI149" s="132">
        <f t="shared" si="120"/>
        <v>0</v>
      </c>
      <c r="FJ149" s="39"/>
      <c r="FK149" s="39"/>
      <c r="FL149" s="43"/>
      <c r="FM149" s="43"/>
      <c r="FN149" s="43"/>
      <c r="FO149" s="43"/>
      <c r="FP149" s="43"/>
      <c r="FQ149" s="43"/>
      <c r="FR149" s="39"/>
      <c r="FS149" s="135"/>
      <c r="FT149" s="43"/>
      <c r="FU149" s="43"/>
      <c r="FV149" s="43"/>
      <c r="FW149" s="43"/>
      <c r="FX149" s="43"/>
      <c r="FY149" s="43"/>
      <c r="FZ149" s="43"/>
      <c r="GA149" s="43"/>
      <c r="GB149" s="43"/>
      <c r="GC149" s="43"/>
      <c r="GD149" s="135"/>
      <c r="GE149" s="135"/>
      <c r="GF149" s="43"/>
      <c r="GG149" s="43"/>
      <c r="GH149" s="43"/>
      <c r="GI149" s="43"/>
      <c r="GJ149" s="43"/>
      <c r="GK149" s="43"/>
      <c r="GL149" s="43"/>
      <c r="GM149" s="43"/>
      <c r="GN149" s="43"/>
      <c r="GO149" s="43"/>
      <c r="GP149" s="43"/>
      <c r="GQ149" s="43"/>
      <c r="GR149" s="43"/>
      <c r="GS149" s="43"/>
      <c r="GT149" s="43"/>
      <c r="GU149" s="43"/>
      <c r="GV149" s="43"/>
      <c r="GW149" s="43"/>
      <c r="GX149" s="45"/>
      <c r="GY149" s="45"/>
      <c r="GZ149" s="43"/>
      <c r="HA149" s="43"/>
      <c r="HB149" s="43"/>
      <c r="HC149" s="43"/>
      <c r="HD149" s="39">
        <f t="shared" si="132"/>
        <v>0</v>
      </c>
      <c r="HE149" s="39">
        <f t="shared" si="133"/>
        <v>0</v>
      </c>
      <c r="HF149" s="39"/>
      <c r="HG149" s="39"/>
      <c r="HH149" s="39"/>
      <c r="HI149" s="43"/>
      <c r="HJ149" s="43"/>
      <c r="HK149" s="43"/>
      <c r="HL149" s="43"/>
      <c r="HM149" s="43"/>
      <c r="HN149" s="136"/>
      <c r="HO149" s="136"/>
      <c r="HP149" s="39">
        <f t="shared" si="134"/>
        <v>0</v>
      </c>
      <c r="HQ149" s="39">
        <f t="shared" si="135"/>
        <v>0</v>
      </c>
      <c r="HR149" s="39"/>
      <c r="HS149" s="39"/>
      <c r="HT149" s="39"/>
      <c r="HU149" s="43"/>
      <c r="HV149" s="39"/>
      <c r="HW149" s="39"/>
      <c r="HX149" s="39">
        <f t="shared" si="136"/>
        <v>0</v>
      </c>
      <c r="HY149" s="39">
        <f t="shared" si="137"/>
        <v>0</v>
      </c>
    </row>
    <row r="150" spans="1:233" ht="12.75" customHeight="1">
      <c r="A150" s="15" t="s">
        <v>290</v>
      </c>
      <c r="B150" s="34"/>
      <c r="C150" s="34"/>
      <c r="D150" s="39">
        <f>723+723+722+602+602+603+602+602+603+481.7+481.7+481.6</f>
        <v>7227</v>
      </c>
      <c r="E150" s="39">
        <f>723+723+722+602+602+603+602+602+603+481.7+481.7+481.6</f>
        <v>7227</v>
      </c>
      <c r="F150" s="34"/>
      <c r="G150" s="34"/>
      <c r="H150" s="34"/>
      <c r="I150" s="34"/>
      <c r="J150" s="34"/>
      <c r="K150" s="34"/>
      <c r="L150" s="34"/>
      <c r="M150" s="34"/>
      <c r="N150" s="34"/>
      <c r="O150" s="34"/>
      <c r="P150" s="34"/>
      <c r="Q150" s="34"/>
      <c r="R150" s="39"/>
      <c r="S150" s="39"/>
      <c r="T150" s="39">
        <v>3.74618</v>
      </c>
      <c r="U150" s="39">
        <v>3.74618</v>
      </c>
      <c r="V150" s="39"/>
      <c r="W150" s="34"/>
      <c r="X150" s="34"/>
      <c r="Y150" s="34"/>
      <c r="Z150" s="34"/>
      <c r="AA150" s="34"/>
      <c r="AB150" s="34"/>
      <c r="AC150" s="34"/>
      <c r="AD150" s="34"/>
      <c r="AE150" s="34"/>
      <c r="AF150" s="39">
        <v>147</v>
      </c>
      <c r="AG150" s="48">
        <f>12.3+12.3+12.3+12.3+12.3+12.3+37+10+10+16.2</f>
        <v>147</v>
      </c>
      <c r="AH150" s="126">
        <f t="shared" si="121"/>
        <v>7377.74618</v>
      </c>
      <c r="AI150" s="126">
        <f t="shared" si="122"/>
        <v>7377.74618</v>
      </c>
      <c r="AJ150" s="43"/>
      <c r="AK150" s="43"/>
      <c r="AL150" s="134"/>
      <c r="AM150" s="41"/>
      <c r="AN150" s="41"/>
      <c r="AO150" s="41"/>
      <c r="AP150" s="41"/>
      <c r="AQ150" s="41"/>
      <c r="AR150" s="39"/>
      <c r="AS150" s="39"/>
      <c r="AT150" s="43"/>
      <c r="AU150" s="43"/>
      <c r="AV150" s="43"/>
      <c r="AW150" s="43"/>
      <c r="AX150" s="43"/>
      <c r="AY150" s="43"/>
      <c r="AZ150" s="39">
        <f t="shared" si="123"/>
        <v>0</v>
      </c>
      <c r="BA150" s="39">
        <f t="shared" si="117"/>
        <v>0</v>
      </c>
      <c r="BB150" s="39">
        <v>0</v>
      </c>
      <c r="BC150" s="39">
        <v>0</v>
      </c>
      <c r="BD150" s="39">
        <v>642.8</v>
      </c>
      <c r="BE150" s="43">
        <v>499.72</v>
      </c>
      <c r="BF150" s="43"/>
      <c r="BG150" s="43"/>
      <c r="BH150" s="43"/>
      <c r="BI150" s="43"/>
      <c r="BJ150" s="43"/>
      <c r="BK150" s="43"/>
      <c r="BL150" s="43"/>
      <c r="BM150" s="43"/>
      <c r="BN150" s="45"/>
      <c r="BO150" s="45"/>
      <c r="BP150" s="45"/>
      <c r="BQ150" s="45"/>
      <c r="BR150" s="43"/>
      <c r="BS150" s="43"/>
      <c r="BT150" s="43"/>
      <c r="BU150" s="43"/>
      <c r="BV150" s="45"/>
      <c r="BW150" s="45"/>
      <c r="BX150" s="43"/>
      <c r="BY150" s="45"/>
      <c r="BZ150" s="43"/>
      <c r="CA150" s="45"/>
      <c r="CB150" s="45"/>
      <c r="CC150" s="45"/>
      <c r="CD150" s="45"/>
      <c r="CE150" s="45"/>
      <c r="CF150" s="39">
        <f t="shared" si="124"/>
        <v>642.8</v>
      </c>
      <c r="CG150" s="39">
        <f t="shared" si="125"/>
        <v>499.72</v>
      </c>
      <c r="CH150" s="39"/>
      <c r="CI150" s="39"/>
      <c r="CJ150" s="39"/>
      <c r="CK150" s="45"/>
      <c r="CL150" s="45"/>
      <c r="CM150" s="43"/>
      <c r="CN150" s="43"/>
      <c r="CO150" s="43"/>
      <c r="CP150" s="43"/>
      <c r="CQ150" s="39"/>
      <c r="CR150" s="43"/>
      <c r="CS150" s="45"/>
      <c r="CT150" s="45"/>
      <c r="CU150" s="45"/>
      <c r="CV150" s="45"/>
      <c r="CW150" s="43"/>
      <c r="CX150" s="43"/>
      <c r="CY150" s="43"/>
      <c r="CZ150" s="39"/>
      <c r="DA150" s="45"/>
      <c r="DB150" s="43"/>
      <c r="DC150" s="43"/>
      <c r="DD150" s="43"/>
      <c r="DE150" s="43"/>
      <c r="DF150" s="39">
        <f t="shared" si="126"/>
        <v>0</v>
      </c>
      <c r="DG150" s="39">
        <f t="shared" si="127"/>
        <v>0</v>
      </c>
      <c r="DH150" s="39"/>
      <c r="DI150" s="39"/>
      <c r="DJ150" s="39">
        <v>0</v>
      </c>
      <c r="DK150" s="39">
        <f t="shared" si="118"/>
        <v>0</v>
      </c>
      <c r="DL150" s="39">
        <v>9659.43</v>
      </c>
      <c r="DM150" s="39">
        <v>9659.43</v>
      </c>
      <c r="DN150" s="43"/>
      <c r="DO150" s="43"/>
      <c r="DP150" s="39">
        <f t="shared" si="128"/>
        <v>9659.43</v>
      </c>
      <c r="DQ150" s="39">
        <f t="shared" si="119"/>
        <v>9659.43</v>
      </c>
      <c r="DR150" s="39"/>
      <c r="DS150" s="39"/>
      <c r="DT150" s="43"/>
      <c r="DU150" s="43"/>
      <c r="DV150" s="43"/>
      <c r="DW150" s="43"/>
      <c r="DX150" s="43"/>
      <c r="DY150" s="43"/>
      <c r="DZ150" s="39"/>
      <c r="EA150" s="39"/>
      <c r="EB150" s="43"/>
      <c r="EC150" s="43"/>
      <c r="ED150" s="43"/>
      <c r="EE150" s="43"/>
      <c r="EF150" s="39"/>
      <c r="EG150" s="43"/>
      <c r="EH150" s="43">
        <v>1771.6</v>
      </c>
      <c r="EI150" s="39">
        <v>1771.6</v>
      </c>
      <c r="EJ150" s="39">
        <v>202</v>
      </c>
      <c r="EK150" s="43">
        <v>202</v>
      </c>
      <c r="EL150" s="43"/>
      <c r="EM150" s="43"/>
      <c r="EN150" s="45"/>
      <c r="EO150" s="45"/>
      <c r="EP150" s="43"/>
      <c r="EQ150" s="43"/>
      <c r="ER150" s="43"/>
      <c r="ES150" s="43"/>
      <c r="ET150" s="135"/>
      <c r="EU150" s="135"/>
      <c r="EV150" s="135"/>
      <c r="EW150" s="135"/>
      <c r="EX150" s="43"/>
      <c r="EY150" s="43"/>
      <c r="EZ150" s="43"/>
      <c r="FA150" s="43"/>
      <c r="FB150" s="37">
        <f t="shared" si="129"/>
        <v>1973.6</v>
      </c>
      <c r="FC150" s="37">
        <f t="shared" si="130"/>
        <v>1973.6</v>
      </c>
      <c r="FD150" s="39"/>
      <c r="FE150" s="39"/>
      <c r="FF150" s="43"/>
      <c r="FG150" s="43"/>
      <c r="FH150" s="132">
        <f t="shared" si="131"/>
        <v>0</v>
      </c>
      <c r="FI150" s="132">
        <f t="shared" si="120"/>
        <v>0</v>
      </c>
      <c r="FJ150" s="39"/>
      <c r="FK150" s="39"/>
      <c r="FL150" s="43"/>
      <c r="FM150" s="43"/>
      <c r="FN150" s="43"/>
      <c r="FO150" s="43"/>
      <c r="FP150" s="43"/>
      <c r="FQ150" s="43"/>
      <c r="FR150" s="39"/>
      <c r="FS150" s="135"/>
      <c r="FT150" s="43"/>
      <c r="FU150" s="43"/>
      <c r="FV150" s="43"/>
      <c r="FW150" s="43"/>
      <c r="FX150" s="43"/>
      <c r="FY150" s="43"/>
      <c r="FZ150" s="43"/>
      <c r="GA150" s="43"/>
      <c r="GB150" s="43"/>
      <c r="GC150" s="43"/>
      <c r="GD150" s="135"/>
      <c r="GE150" s="135"/>
      <c r="GF150" s="43"/>
      <c r="GG150" s="43"/>
      <c r="GH150" s="43"/>
      <c r="GI150" s="43"/>
      <c r="GJ150" s="43"/>
      <c r="GK150" s="43"/>
      <c r="GL150" s="43"/>
      <c r="GM150" s="43"/>
      <c r="GN150" s="43"/>
      <c r="GO150" s="43"/>
      <c r="GP150" s="43"/>
      <c r="GQ150" s="43"/>
      <c r="GR150" s="43"/>
      <c r="GS150" s="43"/>
      <c r="GT150" s="43"/>
      <c r="GU150" s="43"/>
      <c r="GV150" s="43"/>
      <c r="GW150" s="43"/>
      <c r="GX150" s="45"/>
      <c r="GY150" s="45"/>
      <c r="GZ150" s="43"/>
      <c r="HA150" s="43"/>
      <c r="HB150" s="43"/>
      <c r="HC150" s="43"/>
      <c r="HD150" s="39">
        <f t="shared" si="132"/>
        <v>0</v>
      </c>
      <c r="HE150" s="39">
        <f t="shared" si="133"/>
        <v>0</v>
      </c>
      <c r="HF150" s="39"/>
      <c r="HG150" s="39"/>
      <c r="HH150" s="39"/>
      <c r="HI150" s="43"/>
      <c r="HJ150" s="43"/>
      <c r="HK150" s="43"/>
      <c r="HL150" s="43"/>
      <c r="HM150" s="43"/>
      <c r="HN150" s="136"/>
      <c r="HO150" s="136"/>
      <c r="HP150" s="39">
        <f t="shared" si="134"/>
        <v>0</v>
      </c>
      <c r="HQ150" s="39">
        <f t="shared" si="135"/>
        <v>0</v>
      </c>
      <c r="HR150" s="39"/>
      <c r="HS150" s="39"/>
      <c r="HT150" s="39"/>
      <c r="HU150" s="43"/>
      <c r="HV150" s="39"/>
      <c r="HW150" s="39"/>
      <c r="HX150" s="39">
        <f t="shared" si="136"/>
        <v>0</v>
      </c>
      <c r="HY150" s="39">
        <f t="shared" si="137"/>
        <v>0</v>
      </c>
    </row>
    <row r="151" spans="1:233" ht="12.75">
      <c r="A151" s="13" t="s">
        <v>119</v>
      </c>
      <c r="B151" s="39">
        <f>SUM(B152:B156)</f>
        <v>0</v>
      </c>
      <c r="C151" s="39">
        <f aca="true" t="shared" si="142" ref="C151:BN151">SUM(C152:C156)</f>
        <v>0</v>
      </c>
      <c r="D151" s="39">
        <f t="shared" si="142"/>
        <v>20642</v>
      </c>
      <c r="E151" s="39">
        <f t="shared" si="142"/>
        <v>20642</v>
      </c>
      <c r="F151" s="39">
        <f t="shared" si="142"/>
        <v>70149</v>
      </c>
      <c r="G151" s="39">
        <f t="shared" si="142"/>
        <v>70149</v>
      </c>
      <c r="H151" s="39">
        <f t="shared" si="142"/>
        <v>0</v>
      </c>
      <c r="I151" s="39">
        <f t="shared" si="142"/>
        <v>0</v>
      </c>
      <c r="J151" s="39">
        <f t="shared" si="142"/>
        <v>0</v>
      </c>
      <c r="K151" s="39">
        <f t="shared" si="142"/>
        <v>0</v>
      </c>
      <c r="L151" s="39">
        <f t="shared" si="142"/>
        <v>0</v>
      </c>
      <c r="M151" s="39">
        <f t="shared" si="142"/>
        <v>0</v>
      </c>
      <c r="N151" s="39">
        <f t="shared" si="142"/>
        <v>0</v>
      </c>
      <c r="O151" s="39">
        <f t="shared" si="142"/>
        <v>0</v>
      </c>
      <c r="P151" s="39">
        <f t="shared" si="142"/>
        <v>0</v>
      </c>
      <c r="Q151" s="39">
        <f t="shared" si="142"/>
        <v>0</v>
      </c>
      <c r="R151" s="39">
        <f t="shared" si="142"/>
        <v>640</v>
      </c>
      <c r="S151" s="39">
        <f t="shared" si="142"/>
        <v>640</v>
      </c>
      <c r="T151" s="39">
        <f t="shared" si="142"/>
        <v>12643.893949999998</v>
      </c>
      <c r="U151" s="39">
        <f t="shared" si="142"/>
        <v>12643.893949999998</v>
      </c>
      <c r="V151" s="39">
        <f t="shared" si="142"/>
        <v>1048</v>
      </c>
      <c r="W151" s="39">
        <f t="shared" si="142"/>
        <v>1048</v>
      </c>
      <c r="X151" s="39">
        <f t="shared" si="142"/>
        <v>0</v>
      </c>
      <c r="Y151" s="39">
        <f t="shared" si="142"/>
        <v>0</v>
      </c>
      <c r="Z151" s="39">
        <f t="shared" si="142"/>
        <v>0</v>
      </c>
      <c r="AA151" s="39">
        <f t="shared" si="142"/>
        <v>0</v>
      </c>
      <c r="AB151" s="39">
        <f t="shared" si="142"/>
        <v>0</v>
      </c>
      <c r="AC151" s="39">
        <f t="shared" si="142"/>
        <v>0</v>
      </c>
      <c r="AD151" s="39">
        <f t="shared" si="142"/>
        <v>0</v>
      </c>
      <c r="AE151" s="39">
        <f t="shared" si="142"/>
        <v>0</v>
      </c>
      <c r="AF151" s="39">
        <f t="shared" si="142"/>
        <v>584</v>
      </c>
      <c r="AG151" s="39">
        <f t="shared" si="142"/>
        <v>584</v>
      </c>
      <c r="AH151" s="39">
        <f t="shared" si="142"/>
        <v>105706.89395</v>
      </c>
      <c r="AI151" s="39">
        <f t="shared" si="142"/>
        <v>105706.89395</v>
      </c>
      <c r="AJ151" s="39">
        <f t="shared" si="142"/>
        <v>380</v>
      </c>
      <c r="AK151" s="39">
        <f t="shared" si="142"/>
        <v>380</v>
      </c>
      <c r="AL151" s="39">
        <f t="shared" si="142"/>
        <v>0</v>
      </c>
      <c r="AM151" s="39">
        <f t="shared" si="142"/>
        <v>0</v>
      </c>
      <c r="AN151" s="39">
        <f t="shared" si="142"/>
        <v>0</v>
      </c>
      <c r="AO151" s="39">
        <f t="shared" si="142"/>
        <v>0</v>
      </c>
      <c r="AP151" s="39">
        <f t="shared" si="142"/>
        <v>180</v>
      </c>
      <c r="AQ151" s="39">
        <f t="shared" si="142"/>
        <v>180</v>
      </c>
      <c r="AR151" s="39">
        <f t="shared" si="142"/>
        <v>0</v>
      </c>
      <c r="AS151" s="39">
        <f t="shared" si="142"/>
        <v>0</v>
      </c>
      <c r="AT151" s="39">
        <f t="shared" si="142"/>
        <v>30</v>
      </c>
      <c r="AU151" s="39">
        <f t="shared" si="142"/>
        <v>30</v>
      </c>
      <c r="AV151" s="39">
        <f t="shared" si="142"/>
        <v>0</v>
      </c>
      <c r="AW151" s="39">
        <f t="shared" si="142"/>
        <v>0</v>
      </c>
      <c r="AX151" s="39">
        <f t="shared" si="142"/>
        <v>0</v>
      </c>
      <c r="AY151" s="39">
        <f t="shared" si="142"/>
        <v>0</v>
      </c>
      <c r="AZ151" s="39">
        <f t="shared" si="142"/>
        <v>590</v>
      </c>
      <c r="BA151" s="39">
        <f t="shared" si="142"/>
        <v>590</v>
      </c>
      <c r="BB151" s="39">
        <f t="shared" si="142"/>
        <v>1819</v>
      </c>
      <c r="BC151" s="39">
        <f t="shared" si="142"/>
        <v>1819</v>
      </c>
      <c r="BD151" s="39">
        <f t="shared" si="142"/>
        <v>473</v>
      </c>
      <c r="BE151" s="39">
        <f t="shared" si="142"/>
        <v>309.9</v>
      </c>
      <c r="BF151" s="39">
        <f t="shared" si="142"/>
        <v>0</v>
      </c>
      <c r="BG151" s="39">
        <f t="shared" si="142"/>
        <v>0</v>
      </c>
      <c r="BH151" s="39">
        <f t="shared" si="142"/>
        <v>0</v>
      </c>
      <c r="BI151" s="39">
        <f t="shared" si="142"/>
        <v>0</v>
      </c>
      <c r="BJ151" s="39">
        <f t="shared" si="142"/>
        <v>3036</v>
      </c>
      <c r="BK151" s="39">
        <f t="shared" si="142"/>
        <v>3036</v>
      </c>
      <c r="BL151" s="39">
        <f t="shared" si="142"/>
        <v>9893.97</v>
      </c>
      <c r="BM151" s="39">
        <f t="shared" si="142"/>
        <v>5473</v>
      </c>
      <c r="BN151" s="39">
        <f t="shared" si="142"/>
        <v>388.8</v>
      </c>
      <c r="BO151" s="39">
        <f aca="true" t="shared" si="143" ref="BO151:DZ151">SUM(BO152:BO156)</f>
        <v>388.8</v>
      </c>
      <c r="BP151" s="39">
        <f t="shared" si="143"/>
        <v>0</v>
      </c>
      <c r="BQ151" s="39">
        <f t="shared" si="143"/>
        <v>0</v>
      </c>
      <c r="BR151" s="39">
        <f t="shared" si="143"/>
        <v>0</v>
      </c>
      <c r="BS151" s="39">
        <f t="shared" si="143"/>
        <v>0</v>
      </c>
      <c r="BT151" s="39">
        <f t="shared" si="143"/>
        <v>822.2</v>
      </c>
      <c r="BU151" s="39">
        <f t="shared" si="143"/>
        <v>822.2</v>
      </c>
      <c r="BV151" s="39">
        <f t="shared" si="143"/>
        <v>955.2</v>
      </c>
      <c r="BW151" s="39">
        <f t="shared" si="143"/>
        <v>955.2</v>
      </c>
      <c r="BX151" s="39">
        <f t="shared" si="143"/>
        <v>4977.77</v>
      </c>
      <c r="BY151" s="39">
        <f t="shared" si="143"/>
        <v>4444.22</v>
      </c>
      <c r="BZ151" s="39">
        <f t="shared" si="143"/>
        <v>0</v>
      </c>
      <c r="CA151" s="39">
        <f t="shared" si="143"/>
        <v>0</v>
      </c>
      <c r="CB151" s="39">
        <f t="shared" si="143"/>
        <v>5753.7</v>
      </c>
      <c r="CC151" s="39">
        <f t="shared" si="143"/>
        <v>5753.7</v>
      </c>
      <c r="CD151" s="39">
        <f t="shared" si="143"/>
        <v>0</v>
      </c>
      <c r="CE151" s="39">
        <f t="shared" si="143"/>
        <v>0</v>
      </c>
      <c r="CF151" s="39">
        <f t="shared" si="143"/>
        <v>26300.640000000003</v>
      </c>
      <c r="CG151" s="39">
        <f t="shared" si="143"/>
        <v>21183.020000000004</v>
      </c>
      <c r="CH151" s="39">
        <f t="shared" si="143"/>
        <v>0</v>
      </c>
      <c r="CI151" s="39">
        <f t="shared" si="143"/>
        <v>0</v>
      </c>
      <c r="CJ151" s="39">
        <f t="shared" si="143"/>
        <v>0</v>
      </c>
      <c r="CK151" s="39">
        <f t="shared" si="143"/>
        <v>0</v>
      </c>
      <c r="CL151" s="39">
        <f t="shared" si="143"/>
        <v>0</v>
      </c>
      <c r="CM151" s="39">
        <f t="shared" si="143"/>
        <v>0</v>
      </c>
      <c r="CN151" s="39">
        <f t="shared" si="143"/>
        <v>0</v>
      </c>
      <c r="CO151" s="39">
        <f t="shared" si="143"/>
        <v>0</v>
      </c>
      <c r="CP151" s="39">
        <f t="shared" si="143"/>
        <v>0</v>
      </c>
      <c r="CQ151" s="39">
        <f t="shared" si="143"/>
        <v>0</v>
      </c>
      <c r="CR151" s="39">
        <f t="shared" si="143"/>
        <v>0</v>
      </c>
      <c r="CS151" s="39">
        <f t="shared" si="143"/>
        <v>0</v>
      </c>
      <c r="CT151" s="39">
        <f t="shared" si="143"/>
        <v>774.00606</v>
      </c>
      <c r="CU151" s="39">
        <f t="shared" si="143"/>
        <v>774.003</v>
      </c>
      <c r="CV151" s="39">
        <f t="shared" si="143"/>
        <v>182.358</v>
      </c>
      <c r="CW151" s="39">
        <f t="shared" si="143"/>
        <v>126.43907</v>
      </c>
      <c r="CX151" s="39">
        <f t="shared" si="143"/>
        <v>0</v>
      </c>
      <c r="CY151" s="39">
        <f t="shared" si="143"/>
        <v>0</v>
      </c>
      <c r="CZ151" s="39">
        <f t="shared" si="143"/>
        <v>1026.738</v>
      </c>
      <c r="DA151" s="39">
        <f t="shared" si="143"/>
        <v>926.25</v>
      </c>
      <c r="DB151" s="39">
        <f t="shared" si="143"/>
        <v>0</v>
      </c>
      <c r="DC151" s="39">
        <f t="shared" si="143"/>
        <v>0</v>
      </c>
      <c r="DD151" s="39">
        <f t="shared" si="143"/>
        <v>0</v>
      </c>
      <c r="DE151" s="39">
        <f t="shared" si="143"/>
        <v>0</v>
      </c>
      <c r="DF151" s="39">
        <f t="shared" si="143"/>
        <v>1983.1020600000002</v>
      </c>
      <c r="DG151" s="39">
        <f t="shared" si="143"/>
        <v>1826.69207</v>
      </c>
      <c r="DH151" s="39">
        <f t="shared" si="143"/>
        <v>0</v>
      </c>
      <c r="DI151" s="39">
        <f t="shared" si="143"/>
        <v>0</v>
      </c>
      <c r="DJ151" s="39">
        <f t="shared" si="143"/>
        <v>0</v>
      </c>
      <c r="DK151" s="39">
        <f t="shared" si="143"/>
        <v>0</v>
      </c>
      <c r="DL151" s="39">
        <f t="shared" si="143"/>
        <v>0</v>
      </c>
      <c r="DM151" s="39">
        <f t="shared" si="143"/>
        <v>0</v>
      </c>
      <c r="DN151" s="39">
        <f t="shared" si="143"/>
        <v>3032.2</v>
      </c>
      <c r="DO151" s="39">
        <f t="shared" si="143"/>
        <v>3032.2</v>
      </c>
      <c r="DP151" s="39">
        <f t="shared" si="143"/>
        <v>3032.2</v>
      </c>
      <c r="DQ151" s="39">
        <f t="shared" si="143"/>
        <v>3032.2</v>
      </c>
      <c r="DR151" s="39">
        <f t="shared" si="143"/>
        <v>0</v>
      </c>
      <c r="DS151" s="39">
        <f t="shared" si="143"/>
        <v>0</v>
      </c>
      <c r="DT151" s="39">
        <f t="shared" si="143"/>
        <v>0</v>
      </c>
      <c r="DU151" s="39">
        <f t="shared" si="143"/>
        <v>0</v>
      </c>
      <c r="DV151" s="39">
        <f t="shared" si="143"/>
        <v>0</v>
      </c>
      <c r="DW151" s="39">
        <f t="shared" si="143"/>
        <v>0</v>
      </c>
      <c r="DX151" s="39">
        <f t="shared" si="143"/>
        <v>0</v>
      </c>
      <c r="DY151" s="39">
        <f t="shared" si="143"/>
        <v>0</v>
      </c>
      <c r="DZ151" s="39">
        <f t="shared" si="143"/>
        <v>0</v>
      </c>
      <c r="EA151" s="39">
        <f aca="true" t="shared" si="144" ref="EA151:GL151">SUM(EA152:EA156)</f>
        <v>0</v>
      </c>
      <c r="EB151" s="39">
        <f t="shared" si="144"/>
        <v>0</v>
      </c>
      <c r="EC151" s="39">
        <f t="shared" si="144"/>
        <v>0</v>
      </c>
      <c r="ED151" s="39">
        <f t="shared" si="144"/>
        <v>0</v>
      </c>
      <c r="EE151" s="39">
        <f t="shared" si="144"/>
        <v>0</v>
      </c>
      <c r="EF151" s="39">
        <f t="shared" si="144"/>
        <v>400</v>
      </c>
      <c r="EG151" s="39">
        <f t="shared" si="144"/>
        <v>400</v>
      </c>
      <c r="EH151" s="39">
        <f t="shared" si="144"/>
        <v>5333</v>
      </c>
      <c r="EI151" s="39">
        <f t="shared" si="144"/>
        <v>5333</v>
      </c>
      <c r="EJ151" s="39">
        <f t="shared" si="144"/>
        <v>740</v>
      </c>
      <c r="EK151" s="39">
        <f t="shared" si="144"/>
        <v>740</v>
      </c>
      <c r="EL151" s="39">
        <f t="shared" si="144"/>
        <v>400</v>
      </c>
      <c r="EM151" s="39">
        <f t="shared" si="144"/>
        <v>400</v>
      </c>
      <c r="EN151" s="39">
        <f t="shared" si="144"/>
        <v>410</v>
      </c>
      <c r="EO151" s="39">
        <f t="shared" si="144"/>
        <v>410</v>
      </c>
      <c r="EP151" s="39">
        <f t="shared" si="144"/>
        <v>400</v>
      </c>
      <c r="EQ151" s="39">
        <f t="shared" si="144"/>
        <v>400</v>
      </c>
      <c r="ER151" s="39">
        <f t="shared" si="144"/>
        <v>0</v>
      </c>
      <c r="ES151" s="39">
        <f t="shared" si="144"/>
        <v>0</v>
      </c>
      <c r="ET151" s="39">
        <f t="shared" si="144"/>
        <v>0</v>
      </c>
      <c r="EU151" s="39">
        <f t="shared" si="144"/>
        <v>0</v>
      </c>
      <c r="EV151" s="39">
        <f t="shared" si="144"/>
        <v>5.237</v>
      </c>
      <c r="EW151" s="39">
        <f t="shared" si="144"/>
        <v>5.237</v>
      </c>
      <c r="EX151" s="39">
        <f t="shared" si="144"/>
        <v>100</v>
      </c>
      <c r="EY151" s="39">
        <f t="shared" si="144"/>
        <v>100</v>
      </c>
      <c r="EZ151" s="39">
        <f t="shared" si="144"/>
        <v>0</v>
      </c>
      <c r="FA151" s="39">
        <f t="shared" si="144"/>
        <v>0</v>
      </c>
      <c r="FB151" s="39">
        <f t="shared" si="144"/>
        <v>7788.237</v>
      </c>
      <c r="FC151" s="39">
        <f t="shared" si="144"/>
        <v>7788.237</v>
      </c>
      <c r="FD151" s="39">
        <f t="shared" si="144"/>
        <v>248.43</v>
      </c>
      <c r="FE151" s="39">
        <f t="shared" si="144"/>
        <v>248.43</v>
      </c>
      <c r="FF151" s="39">
        <f t="shared" si="144"/>
        <v>43.4</v>
      </c>
      <c r="FG151" s="39">
        <f t="shared" si="144"/>
        <v>43.4</v>
      </c>
      <c r="FH151" s="39">
        <f t="shared" si="144"/>
        <v>291.83</v>
      </c>
      <c r="FI151" s="39">
        <f t="shared" si="144"/>
        <v>291.83</v>
      </c>
      <c r="FJ151" s="39">
        <f t="shared" si="144"/>
        <v>0</v>
      </c>
      <c r="FK151" s="39">
        <f t="shared" si="144"/>
        <v>0</v>
      </c>
      <c r="FL151" s="39">
        <f t="shared" si="144"/>
        <v>0</v>
      </c>
      <c r="FM151" s="39">
        <f t="shared" si="144"/>
        <v>0</v>
      </c>
      <c r="FN151" s="39">
        <f t="shared" si="144"/>
        <v>0</v>
      </c>
      <c r="FO151" s="39">
        <f t="shared" si="144"/>
        <v>0</v>
      </c>
      <c r="FP151" s="39">
        <f t="shared" si="144"/>
        <v>0</v>
      </c>
      <c r="FQ151" s="39">
        <f t="shared" si="144"/>
        <v>0</v>
      </c>
      <c r="FR151" s="39">
        <f t="shared" si="144"/>
        <v>0</v>
      </c>
      <c r="FS151" s="39">
        <f t="shared" si="144"/>
        <v>0</v>
      </c>
      <c r="FT151" s="39">
        <f t="shared" si="144"/>
        <v>1607</v>
      </c>
      <c r="FU151" s="39">
        <f t="shared" si="144"/>
        <v>1607</v>
      </c>
      <c r="FV151" s="39">
        <f t="shared" si="144"/>
        <v>301</v>
      </c>
      <c r="FW151" s="39">
        <f t="shared" si="144"/>
        <v>301</v>
      </c>
      <c r="FX151" s="39">
        <f t="shared" si="144"/>
        <v>10915</v>
      </c>
      <c r="FY151" s="39">
        <f t="shared" si="144"/>
        <v>10915</v>
      </c>
      <c r="FZ151" s="39">
        <f t="shared" si="144"/>
        <v>3963</v>
      </c>
      <c r="GA151" s="39">
        <f t="shared" si="144"/>
        <v>3963</v>
      </c>
      <c r="GB151" s="39">
        <f t="shared" si="144"/>
        <v>0</v>
      </c>
      <c r="GC151" s="39">
        <f t="shared" si="144"/>
        <v>0</v>
      </c>
      <c r="GD151" s="39">
        <f t="shared" si="144"/>
        <v>0</v>
      </c>
      <c r="GE151" s="39">
        <f t="shared" si="144"/>
        <v>0</v>
      </c>
      <c r="GF151" s="39">
        <f t="shared" si="144"/>
        <v>1476</v>
      </c>
      <c r="GG151" s="39">
        <f t="shared" si="144"/>
        <v>1476</v>
      </c>
      <c r="GH151" s="39">
        <f t="shared" si="144"/>
        <v>631.9</v>
      </c>
      <c r="GI151" s="39">
        <f t="shared" si="144"/>
        <v>631.9</v>
      </c>
      <c r="GJ151" s="39">
        <f t="shared" si="144"/>
        <v>49663</v>
      </c>
      <c r="GK151" s="39">
        <f t="shared" si="144"/>
        <v>49663</v>
      </c>
      <c r="GL151" s="39">
        <f t="shared" si="144"/>
        <v>127939.5</v>
      </c>
      <c r="GM151" s="39">
        <f aca="true" t="shared" si="145" ref="GM151:HY151">SUM(GM152:GM156)</f>
        <v>127939.5</v>
      </c>
      <c r="GN151" s="39">
        <f t="shared" si="145"/>
        <v>0</v>
      </c>
      <c r="GO151" s="39">
        <f t="shared" si="145"/>
        <v>0</v>
      </c>
      <c r="GP151" s="39">
        <f t="shared" si="145"/>
        <v>11577.4</v>
      </c>
      <c r="GQ151" s="39">
        <f t="shared" si="145"/>
        <v>11577.4</v>
      </c>
      <c r="GR151" s="39">
        <f t="shared" si="145"/>
        <v>1437</v>
      </c>
      <c r="GS151" s="39">
        <f t="shared" si="145"/>
        <v>1437</v>
      </c>
      <c r="GT151" s="39">
        <f t="shared" si="145"/>
        <v>291</v>
      </c>
      <c r="GU151" s="39">
        <f t="shared" si="145"/>
        <v>291</v>
      </c>
      <c r="GV151" s="39">
        <f t="shared" si="145"/>
        <v>12438</v>
      </c>
      <c r="GW151" s="39">
        <f t="shared" si="145"/>
        <v>12438</v>
      </c>
      <c r="GX151" s="39">
        <f t="shared" si="145"/>
        <v>4773.9</v>
      </c>
      <c r="GY151" s="39">
        <f t="shared" si="145"/>
        <v>4773.9</v>
      </c>
      <c r="GZ151" s="39">
        <f t="shared" si="145"/>
        <v>0</v>
      </c>
      <c r="HA151" s="39">
        <f t="shared" si="145"/>
        <v>0</v>
      </c>
      <c r="HB151" s="39">
        <f t="shared" si="145"/>
        <v>0</v>
      </c>
      <c r="HC151" s="39">
        <f t="shared" si="145"/>
        <v>0</v>
      </c>
      <c r="HD151" s="39">
        <f t="shared" si="145"/>
        <v>227013.69999999998</v>
      </c>
      <c r="HE151" s="39">
        <f t="shared" si="145"/>
        <v>227013.69999999998</v>
      </c>
      <c r="HF151" s="39">
        <f t="shared" si="145"/>
        <v>0</v>
      </c>
      <c r="HG151" s="39">
        <f t="shared" si="145"/>
        <v>0</v>
      </c>
      <c r="HH151" s="39">
        <f t="shared" si="145"/>
        <v>0</v>
      </c>
      <c r="HI151" s="39">
        <f t="shared" si="145"/>
        <v>0</v>
      </c>
      <c r="HJ151" s="39">
        <f t="shared" si="145"/>
        <v>0</v>
      </c>
      <c r="HK151" s="39">
        <f t="shared" si="145"/>
        <v>0</v>
      </c>
      <c r="HL151" s="39">
        <f t="shared" si="145"/>
        <v>0</v>
      </c>
      <c r="HM151" s="39">
        <f t="shared" si="145"/>
        <v>0</v>
      </c>
      <c r="HN151" s="39">
        <f t="shared" si="145"/>
        <v>0</v>
      </c>
      <c r="HO151" s="39">
        <f t="shared" si="145"/>
        <v>0</v>
      </c>
      <c r="HP151" s="39">
        <f t="shared" si="145"/>
        <v>0</v>
      </c>
      <c r="HQ151" s="39">
        <f t="shared" si="145"/>
        <v>0</v>
      </c>
      <c r="HR151" s="39">
        <f t="shared" si="145"/>
        <v>0</v>
      </c>
      <c r="HS151" s="39">
        <f t="shared" si="145"/>
        <v>0</v>
      </c>
      <c r="HT151" s="39">
        <f t="shared" si="145"/>
        <v>375</v>
      </c>
      <c r="HU151" s="39">
        <f t="shared" si="145"/>
        <v>375</v>
      </c>
      <c r="HV151" s="39">
        <f t="shared" si="145"/>
        <v>0</v>
      </c>
      <c r="HW151" s="39">
        <f t="shared" si="145"/>
        <v>0</v>
      </c>
      <c r="HX151" s="39">
        <f t="shared" si="145"/>
        <v>375</v>
      </c>
      <c r="HY151" s="39">
        <f t="shared" si="145"/>
        <v>375</v>
      </c>
    </row>
    <row r="152" spans="1:233" ht="12.75" customHeight="1">
      <c r="A152" s="12" t="s">
        <v>156</v>
      </c>
      <c r="B152" s="34"/>
      <c r="C152" s="34"/>
      <c r="D152" s="34"/>
      <c r="E152" s="34"/>
      <c r="F152" s="39">
        <f>7015+4677+5846+3507+5846+4299+1567+19796+2933+2933+2932+2932.7+2932.7+2932.6</f>
        <v>70149</v>
      </c>
      <c r="G152" s="39">
        <f>7015+4677+5846+3507+5846+4299+1567+19796+2933+2933+2932+2932.7+2932.7+2932.6</f>
        <v>70149</v>
      </c>
      <c r="H152" s="34"/>
      <c r="I152" s="34"/>
      <c r="J152" s="34"/>
      <c r="K152" s="34"/>
      <c r="L152" s="54"/>
      <c r="M152" s="54"/>
      <c r="N152" s="54"/>
      <c r="O152" s="34"/>
      <c r="P152" s="34"/>
      <c r="Q152" s="34"/>
      <c r="R152" s="39"/>
      <c r="S152" s="39"/>
      <c r="T152" s="39"/>
      <c r="U152" s="39"/>
      <c r="V152" s="39"/>
      <c r="W152" s="39"/>
      <c r="X152" s="34"/>
      <c r="Y152" s="34"/>
      <c r="Z152" s="34"/>
      <c r="AA152" s="34"/>
      <c r="AB152" s="34"/>
      <c r="AC152" s="34"/>
      <c r="AD152" s="34"/>
      <c r="AE152" s="34"/>
      <c r="AF152" s="39">
        <v>0</v>
      </c>
      <c r="AG152" s="48"/>
      <c r="AH152" s="126">
        <f t="shared" si="121"/>
        <v>70149</v>
      </c>
      <c r="AI152" s="126">
        <f t="shared" si="122"/>
        <v>70149</v>
      </c>
      <c r="AJ152" s="43">
        <v>380</v>
      </c>
      <c r="AK152" s="43">
        <v>380</v>
      </c>
      <c r="AL152" s="134"/>
      <c r="AM152" s="41"/>
      <c r="AN152" s="41"/>
      <c r="AO152" s="41"/>
      <c r="AP152" s="41"/>
      <c r="AQ152" s="41"/>
      <c r="AR152" s="39"/>
      <c r="AS152" s="39"/>
      <c r="AT152" s="43">
        <v>30</v>
      </c>
      <c r="AU152" s="43">
        <v>30</v>
      </c>
      <c r="AV152" s="43"/>
      <c r="AW152" s="43"/>
      <c r="AX152" s="43"/>
      <c r="AY152" s="43"/>
      <c r="AZ152" s="39">
        <f t="shared" si="123"/>
        <v>410</v>
      </c>
      <c r="BA152" s="39">
        <f t="shared" si="117"/>
        <v>410</v>
      </c>
      <c r="BB152" s="39">
        <v>1819</v>
      </c>
      <c r="BC152" s="39">
        <v>1819</v>
      </c>
      <c r="BD152" s="39"/>
      <c r="BE152" s="43"/>
      <c r="BF152" s="43"/>
      <c r="BG152" s="43"/>
      <c r="BH152" s="43"/>
      <c r="BI152" s="43"/>
      <c r="BJ152" s="43">
        <v>3036</v>
      </c>
      <c r="BK152" s="43">
        <v>3036</v>
      </c>
      <c r="BL152" s="43">
        <v>9893.97</v>
      </c>
      <c r="BM152" s="43">
        <v>5473</v>
      </c>
      <c r="BN152" s="43">
        <v>388.8</v>
      </c>
      <c r="BO152" s="43">
        <v>388.8</v>
      </c>
      <c r="BP152" s="43"/>
      <c r="BQ152" s="43"/>
      <c r="BR152" s="43"/>
      <c r="BS152" s="43"/>
      <c r="BT152" s="43">
        <v>822.2</v>
      </c>
      <c r="BU152" s="43">
        <v>822.2</v>
      </c>
      <c r="BV152" s="43">
        <v>955.2</v>
      </c>
      <c r="BW152" s="43">
        <v>955.2</v>
      </c>
      <c r="BX152" s="43">
        <v>4977.77</v>
      </c>
      <c r="BY152" s="43">
        <v>4444.22</v>
      </c>
      <c r="BZ152" s="43"/>
      <c r="CA152" s="43"/>
      <c r="CB152" s="39">
        <v>5753.7</v>
      </c>
      <c r="CC152" s="39">
        <v>5753.7</v>
      </c>
      <c r="CD152" s="43"/>
      <c r="CE152" s="43"/>
      <c r="CF152" s="39">
        <f t="shared" si="124"/>
        <v>25827.640000000003</v>
      </c>
      <c r="CG152" s="39">
        <f t="shared" si="125"/>
        <v>20873.120000000003</v>
      </c>
      <c r="CH152" s="39"/>
      <c r="CI152" s="39"/>
      <c r="CJ152" s="39"/>
      <c r="CK152" s="45"/>
      <c r="CL152" s="45"/>
      <c r="CM152" s="43"/>
      <c r="CN152" s="43"/>
      <c r="CO152" s="43"/>
      <c r="CP152" s="43"/>
      <c r="CQ152" s="39"/>
      <c r="CR152" s="43"/>
      <c r="CS152" s="45"/>
      <c r="CT152" s="45"/>
      <c r="CU152" s="45"/>
      <c r="CV152" s="45"/>
      <c r="CW152" s="43"/>
      <c r="CX152" s="43"/>
      <c r="CY152" s="45"/>
      <c r="CZ152" s="39">
        <v>1026.738</v>
      </c>
      <c r="DA152" s="39">
        <v>926.25</v>
      </c>
      <c r="DB152" s="45"/>
      <c r="DC152" s="45"/>
      <c r="DD152" s="45"/>
      <c r="DE152" s="45"/>
      <c r="DF152" s="39">
        <f t="shared" si="126"/>
        <v>1026.738</v>
      </c>
      <c r="DG152" s="39">
        <f t="shared" si="127"/>
        <v>926.25</v>
      </c>
      <c r="DH152" s="39"/>
      <c r="DI152" s="39"/>
      <c r="DJ152" s="39">
        <v>0</v>
      </c>
      <c r="DK152" s="39">
        <f t="shared" si="118"/>
        <v>0</v>
      </c>
      <c r="DL152" s="39"/>
      <c r="DM152" s="39"/>
      <c r="DN152" s="43"/>
      <c r="DO152" s="43"/>
      <c r="DP152" s="39">
        <f t="shared" si="128"/>
        <v>0</v>
      </c>
      <c r="DQ152" s="39">
        <f t="shared" si="119"/>
        <v>0</v>
      </c>
      <c r="DR152" s="39"/>
      <c r="DS152" s="39"/>
      <c r="DT152" s="43"/>
      <c r="DU152" s="43"/>
      <c r="DV152" s="43"/>
      <c r="DW152" s="43"/>
      <c r="DX152" s="43"/>
      <c r="DY152" s="43"/>
      <c r="DZ152" s="39"/>
      <c r="EA152" s="39"/>
      <c r="EB152" s="43"/>
      <c r="EC152" s="43"/>
      <c r="ED152" s="43"/>
      <c r="EE152" s="43"/>
      <c r="EF152" s="39">
        <v>400</v>
      </c>
      <c r="EG152" s="43">
        <v>400</v>
      </c>
      <c r="EH152" s="43">
        <v>550</v>
      </c>
      <c r="EI152" s="39">
        <v>550</v>
      </c>
      <c r="EJ152" s="39">
        <v>136</v>
      </c>
      <c r="EK152" s="43">
        <v>136</v>
      </c>
      <c r="EL152" s="43">
        <v>400</v>
      </c>
      <c r="EM152" s="43">
        <v>400</v>
      </c>
      <c r="EN152" s="43">
        <v>410</v>
      </c>
      <c r="EO152" s="43">
        <v>410</v>
      </c>
      <c r="EP152" s="43">
        <v>400</v>
      </c>
      <c r="EQ152" s="43">
        <v>400</v>
      </c>
      <c r="ER152" s="43"/>
      <c r="ES152" s="43"/>
      <c r="ET152" s="135"/>
      <c r="EU152" s="135"/>
      <c r="EV152" s="135">
        <v>5.237</v>
      </c>
      <c r="EW152" s="135">
        <v>5.237</v>
      </c>
      <c r="EX152" s="43">
        <v>100</v>
      </c>
      <c r="EY152" s="43">
        <v>100</v>
      </c>
      <c r="EZ152" s="43"/>
      <c r="FA152" s="43"/>
      <c r="FB152" s="37">
        <f t="shared" si="129"/>
        <v>2401.237</v>
      </c>
      <c r="FC152" s="37">
        <f t="shared" si="130"/>
        <v>2401.237</v>
      </c>
      <c r="FD152" s="39">
        <v>248.43</v>
      </c>
      <c r="FE152" s="39">
        <v>248.43</v>
      </c>
      <c r="FF152" s="43">
        <v>43.4</v>
      </c>
      <c r="FG152" s="43">
        <v>43.4</v>
      </c>
      <c r="FH152" s="132">
        <f t="shared" si="131"/>
        <v>291.83</v>
      </c>
      <c r="FI152" s="132">
        <f t="shared" si="120"/>
        <v>291.83</v>
      </c>
      <c r="FJ152" s="137"/>
      <c r="FK152" s="137"/>
      <c r="FL152" s="138"/>
      <c r="FM152" s="138"/>
      <c r="FN152" s="138"/>
      <c r="FO152" s="138"/>
      <c r="FP152" s="138"/>
      <c r="FQ152" s="138"/>
      <c r="FR152" s="39"/>
      <c r="FS152" s="39"/>
      <c r="FT152" s="138">
        <v>1607</v>
      </c>
      <c r="FU152" s="138">
        <v>1607</v>
      </c>
      <c r="FV152" s="43">
        <v>301</v>
      </c>
      <c r="FW152" s="43">
        <v>301</v>
      </c>
      <c r="FX152" s="43">
        <v>10915</v>
      </c>
      <c r="FY152" s="43">
        <v>10915</v>
      </c>
      <c r="FZ152" s="43">
        <v>3963</v>
      </c>
      <c r="GA152" s="43">
        <v>3963</v>
      </c>
      <c r="GB152" s="43"/>
      <c r="GC152" s="43"/>
      <c r="GD152" s="135"/>
      <c r="GE152" s="135"/>
      <c r="GF152" s="43">
        <v>1476</v>
      </c>
      <c r="GG152" s="43">
        <v>1476</v>
      </c>
      <c r="GH152" s="43">
        <v>631.9</v>
      </c>
      <c r="GI152" s="43">
        <v>631.9</v>
      </c>
      <c r="GJ152" s="43">
        <v>49663</v>
      </c>
      <c r="GK152" s="43">
        <v>49663</v>
      </c>
      <c r="GL152" s="43">
        <v>127939.5</v>
      </c>
      <c r="GM152" s="43">
        <v>127939.5</v>
      </c>
      <c r="GN152" s="43"/>
      <c r="GO152" s="43"/>
      <c r="GP152" s="43">
        <v>11577.4</v>
      </c>
      <c r="GQ152" s="43">
        <v>11577.4</v>
      </c>
      <c r="GR152" s="43">
        <v>1437</v>
      </c>
      <c r="GS152" s="43">
        <v>1437</v>
      </c>
      <c r="GT152" s="43">
        <v>291</v>
      </c>
      <c r="GU152" s="43">
        <v>291</v>
      </c>
      <c r="GV152" s="43">
        <v>12438</v>
      </c>
      <c r="GW152" s="43">
        <v>12438</v>
      </c>
      <c r="GX152" s="45">
        <v>4773.9</v>
      </c>
      <c r="GY152" s="45">
        <v>4773.9</v>
      </c>
      <c r="GZ152" s="43"/>
      <c r="HA152" s="43"/>
      <c r="HB152" s="43"/>
      <c r="HC152" s="43"/>
      <c r="HD152" s="39">
        <f t="shared" si="132"/>
        <v>227013.69999999998</v>
      </c>
      <c r="HE152" s="39">
        <f t="shared" si="133"/>
        <v>227013.69999999998</v>
      </c>
      <c r="HF152" s="39"/>
      <c r="HG152" s="39"/>
      <c r="HH152" s="39"/>
      <c r="HI152" s="43"/>
      <c r="HJ152" s="43"/>
      <c r="HK152" s="43"/>
      <c r="HL152" s="43"/>
      <c r="HM152" s="43"/>
      <c r="HN152" s="136"/>
      <c r="HO152" s="136"/>
      <c r="HP152" s="39">
        <f t="shared" si="134"/>
        <v>0</v>
      </c>
      <c r="HQ152" s="39">
        <f t="shared" si="135"/>
        <v>0</v>
      </c>
      <c r="HR152" s="39"/>
      <c r="HS152" s="39"/>
      <c r="HT152" s="39">
        <v>375</v>
      </c>
      <c r="HU152" s="43">
        <v>375</v>
      </c>
      <c r="HV152" s="39"/>
      <c r="HW152" s="39"/>
      <c r="HX152" s="39">
        <f t="shared" si="136"/>
        <v>375</v>
      </c>
      <c r="HY152" s="39">
        <f t="shared" si="137"/>
        <v>375</v>
      </c>
    </row>
    <row r="153" spans="1:233" ht="12.75" customHeight="1">
      <c r="A153" s="14" t="s">
        <v>221</v>
      </c>
      <c r="B153" s="34"/>
      <c r="C153" s="34"/>
      <c r="D153" s="39">
        <f>319+319+318+266+266+265+266+266+265+212.3+212.4+212.3</f>
        <v>3187.0000000000005</v>
      </c>
      <c r="E153" s="39">
        <f>319+319+318+266+266+265+266+266+265+212.3+212.4+212.3</f>
        <v>3187.0000000000005</v>
      </c>
      <c r="F153" s="34"/>
      <c r="G153" s="34"/>
      <c r="H153" s="34"/>
      <c r="I153" s="34"/>
      <c r="J153" s="34"/>
      <c r="K153" s="34"/>
      <c r="L153" s="34"/>
      <c r="M153" s="34"/>
      <c r="N153" s="34"/>
      <c r="O153" s="34"/>
      <c r="P153" s="51"/>
      <c r="Q153" s="51"/>
      <c r="R153" s="39">
        <v>180</v>
      </c>
      <c r="S153" s="39">
        <v>180</v>
      </c>
      <c r="T153" s="39">
        <v>10550.58334</v>
      </c>
      <c r="U153" s="39">
        <f>63.80744+5956.56345+4530.21245</f>
        <v>10550.58334</v>
      </c>
      <c r="V153" s="39"/>
      <c r="W153" s="39"/>
      <c r="X153" s="34"/>
      <c r="Y153" s="34"/>
      <c r="Z153" s="34"/>
      <c r="AA153" s="34"/>
      <c r="AB153" s="34"/>
      <c r="AC153" s="34"/>
      <c r="AD153" s="34"/>
      <c r="AE153" s="34"/>
      <c r="AF153" s="39">
        <v>0</v>
      </c>
      <c r="AG153" s="48"/>
      <c r="AH153" s="126">
        <f t="shared" si="121"/>
        <v>13917.58334</v>
      </c>
      <c r="AI153" s="126">
        <f t="shared" si="122"/>
        <v>13917.58334</v>
      </c>
      <c r="AJ153" s="43"/>
      <c r="AK153" s="43"/>
      <c r="AL153" s="134"/>
      <c r="AM153" s="41"/>
      <c r="AN153" s="41"/>
      <c r="AO153" s="41"/>
      <c r="AP153" s="41"/>
      <c r="AQ153" s="41"/>
      <c r="AR153" s="39"/>
      <c r="AS153" s="39"/>
      <c r="AT153" s="43"/>
      <c r="AU153" s="43"/>
      <c r="AV153" s="43"/>
      <c r="AW153" s="43"/>
      <c r="AX153" s="43"/>
      <c r="AY153" s="43"/>
      <c r="AZ153" s="39">
        <f t="shared" si="123"/>
        <v>0</v>
      </c>
      <c r="BA153" s="39">
        <f t="shared" si="117"/>
        <v>0</v>
      </c>
      <c r="BB153" s="39">
        <v>0</v>
      </c>
      <c r="BC153" s="39">
        <v>0</v>
      </c>
      <c r="BD153" s="39"/>
      <c r="BE153" s="43"/>
      <c r="BF153" s="43"/>
      <c r="BG153" s="43"/>
      <c r="BH153" s="43"/>
      <c r="BI153" s="43"/>
      <c r="BJ153" s="43"/>
      <c r="BK153" s="43"/>
      <c r="BL153" s="43"/>
      <c r="BM153" s="43"/>
      <c r="BN153" s="45"/>
      <c r="BO153" s="45"/>
      <c r="BP153" s="45"/>
      <c r="BQ153" s="45"/>
      <c r="BR153" s="43"/>
      <c r="BS153" s="43"/>
      <c r="BT153" s="43"/>
      <c r="BU153" s="43"/>
      <c r="BV153" s="45"/>
      <c r="BW153" s="45"/>
      <c r="BX153" s="43"/>
      <c r="BY153" s="45"/>
      <c r="BZ153" s="43"/>
      <c r="CA153" s="45"/>
      <c r="CB153" s="45"/>
      <c r="CC153" s="45"/>
      <c r="CD153" s="45"/>
      <c r="CE153" s="45"/>
      <c r="CF153" s="39">
        <f t="shared" si="124"/>
        <v>0</v>
      </c>
      <c r="CG153" s="39">
        <f t="shared" si="125"/>
        <v>0</v>
      </c>
      <c r="CH153" s="39"/>
      <c r="CI153" s="39"/>
      <c r="CJ153" s="39"/>
      <c r="CK153" s="45"/>
      <c r="CL153" s="45"/>
      <c r="CM153" s="43"/>
      <c r="CN153" s="43"/>
      <c r="CO153" s="43"/>
      <c r="CP153" s="43"/>
      <c r="CQ153" s="39"/>
      <c r="CR153" s="43"/>
      <c r="CS153" s="45"/>
      <c r="CT153" s="43">
        <v>774.00606</v>
      </c>
      <c r="CU153" s="43">
        <v>774.003</v>
      </c>
      <c r="CV153" s="43">
        <v>182.358</v>
      </c>
      <c r="CW153" s="43">
        <v>126.43907</v>
      </c>
      <c r="CX153" s="50"/>
      <c r="CY153" s="50"/>
      <c r="CZ153" s="39"/>
      <c r="DA153" s="45"/>
      <c r="DB153" s="50"/>
      <c r="DC153" s="50"/>
      <c r="DD153" s="50"/>
      <c r="DE153" s="50"/>
      <c r="DF153" s="39">
        <f t="shared" si="126"/>
        <v>956.3640600000001</v>
      </c>
      <c r="DG153" s="39">
        <f t="shared" si="127"/>
        <v>900.4420700000001</v>
      </c>
      <c r="DH153" s="39"/>
      <c r="DI153" s="39"/>
      <c r="DJ153" s="39">
        <v>0</v>
      </c>
      <c r="DK153" s="39">
        <f t="shared" si="118"/>
        <v>0</v>
      </c>
      <c r="DL153" s="39"/>
      <c r="DM153" s="39"/>
      <c r="DN153" s="43"/>
      <c r="DO153" s="43"/>
      <c r="DP153" s="39">
        <f t="shared" si="128"/>
        <v>0</v>
      </c>
      <c r="DQ153" s="39">
        <f t="shared" si="119"/>
        <v>0</v>
      </c>
      <c r="DR153" s="39"/>
      <c r="DS153" s="39"/>
      <c r="DT153" s="43"/>
      <c r="DU153" s="43"/>
      <c r="DV153" s="43"/>
      <c r="DW153" s="43"/>
      <c r="DX153" s="43"/>
      <c r="DY153" s="43"/>
      <c r="DZ153" s="39"/>
      <c r="EA153" s="39"/>
      <c r="EB153" s="43"/>
      <c r="EC153" s="43"/>
      <c r="ED153" s="43"/>
      <c r="EE153" s="43"/>
      <c r="EF153" s="39"/>
      <c r="EG153" s="43"/>
      <c r="EH153" s="43">
        <v>3596</v>
      </c>
      <c r="EI153" s="39">
        <v>3596</v>
      </c>
      <c r="EJ153" s="39"/>
      <c r="EK153" s="43"/>
      <c r="EL153" s="43"/>
      <c r="EM153" s="43"/>
      <c r="EN153" s="45"/>
      <c r="EO153" s="45"/>
      <c r="EP153" s="43"/>
      <c r="EQ153" s="43"/>
      <c r="ER153" s="43"/>
      <c r="ES153" s="43"/>
      <c r="ET153" s="135"/>
      <c r="EU153" s="135"/>
      <c r="EV153" s="135"/>
      <c r="EW153" s="135"/>
      <c r="EX153" s="43"/>
      <c r="EY153" s="43"/>
      <c r="EZ153" s="43"/>
      <c r="FA153" s="43"/>
      <c r="FB153" s="37">
        <f t="shared" si="129"/>
        <v>3596</v>
      </c>
      <c r="FC153" s="37">
        <f t="shared" si="130"/>
        <v>3596</v>
      </c>
      <c r="FD153" s="39"/>
      <c r="FE153" s="39"/>
      <c r="FF153" s="43"/>
      <c r="FG153" s="43"/>
      <c r="FH153" s="132">
        <f t="shared" si="131"/>
        <v>0</v>
      </c>
      <c r="FI153" s="132">
        <f t="shared" si="120"/>
        <v>0</v>
      </c>
      <c r="FJ153" s="39"/>
      <c r="FK153" s="39"/>
      <c r="FL153" s="138"/>
      <c r="FM153" s="138"/>
      <c r="FN153" s="138"/>
      <c r="FO153" s="138"/>
      <c r="FP153" s="138"/>
      <c r="FQ153" s="138"/>
      <c r="FR153" s="39"/>
      <c r="FS153" s="39"/>
      <c r="FT153" s="138"/>
      <c r="FU153" s="138"/>
      <c r="FV153" s="138"/>
      <c r="FW153" s="138"/>
      <c r="FX153" s="138"/>
      <c r="FY153" s="138"/>
      <c r="FZ153" s="138"/>
      <c r="GA153" s="138"/>
      <c r="GB153" s="138"/>
      <c r="GC153" s="138"/>
      <c r="GD153" s="39"/>
      <c r="GE153" s="39"/>
      <c r="GF153" s="43"/>
      <c r="GG153" s="43"/>
      <c r="GH153" s="138"/>
      <c r="GI153" s="138"/>
      <c r="GJ153" s="138"/>
      <c r="GK153" s="138"/>
      <c r="GL153" s="43"/>
      <c r="GM153" s="43"/>
      <c r="GN153" s="138"/>
      <c r="GO153" s="138"/>
      <c r="GP153" s="43"/>
      <c r="GQ153" s="43"/>
      <c r="GR153" s="43"/>
      <c r="GS153" s="43"/>
      <c r="GT153" s="43"/>
      <c r="GU153" s="43"/>
      <c r="GV153" s="43"/>
      <c r="GW153" s="43"/>
      <c r="GX153" s="45"/>
      <c r="GY153" s="45"/>
      <c r="GZ153" s="43"/>
      <c r="HA153" s="43"/>
      <c r="HB153" s="43"/>
      <c r="HC153" s="43"/>
      <c r="HD153" s="39">
        <f t="shared" si="132"/>
        <v>0</v>
      </c>
      <c r="HE153" s="39">
        <f t="shared" si="133"/>
        <v>0</v>
      </c>
      <c r="HF153" s="39"/>
      <c r="HG153" s="39"/>
      <c r="HH153" s="39"/>
      <c r="HI153" s="43"/>
      <c r="HJ153" s="43"/>
      <c r="HK153" s="43"/>
      <c r="HL153" s="43"/>
      <c r="HM153" s="43"/>
      <c r="HN153" s="136"/>
      <c r="HO153" s="136"/>
      <c r="HP153" s="39">
        <f t="shared" si="134"/>
        <v>0</v>
      </c>
      <c r="HQ153" s="39">
        <f t="shared" si="135"/>
        <v>0</v>
      </c>
      <c r="HR153" s="39"/>
      <c r="HS153" s="39"/>
      <c r="HT153" s="39"/>
      <c r="HU153" s="43"/>
      <c r="HV153" s="39"/>
      <c r="HW153" s="39"/>
      <c r="HX153" s="39">
        <f t="shared" si="136"/>
        <v>0</v>
      </c>
      <c r="HY153" s="39">
        <f t="shared" si="137"/>
        <v>0</v>
      </c>
    </row>
    <row r="154" spans="1:233" ht="12.75" customHeight="1">
      <c r="A154" s="14" t="s">
        <v>291</v>
      </c>
      <c r="B154" s="34"/>
      <c r="C154" s="34"/>
      <c r="D154" s="39">
        <f>910+910+910+758+758+759+758+758+2579</f>
        <v>9100</v>
      </c>
      <c r="E154" s="39">
        <f>910+910+910+758+758+759+758+758+2579</f>
        <v>9100</v>
      </c>
      <c r="F154" s="34"/>
      <c r="G154" s="34"/>
      <c r="H154" s="34"/>
      <c r="I154" s="34"/>
      <c r="J154" s="34"/>
      <c r="K154" s="34"/>
      <c r="L154" s="34"/>
      <c r="M154" s="34"/>
      <c r="N154" s="34"/>
      <c r="O154" s="34"/>
      <c r="P154" s="51"/>
      <c r="Q154" s="51"/>
      <c r="R154" s="39">
        <v>110</v>
      </c>
      <c r="S154" s="39">
        <v>110</v>
      </c>
      <c r="T154" s="39">
        <v>35.62344</v>
      </c>
      <c r="U154" s="39">
        <v>35.62344</v>
      </c>
      <c r="V154" s="39"/>
      <c r="W154" s="39"/>
      <c r="X154" s="34"/>
      <c r="Y154" s="34"/>
      <c r="Z154" s="34"/>
      <c r="AA154" s="34"/>
      <c r="AB154" s="34"/>
      <c r="AC154" s="34"/>
      <c r="AD154" s="34"/>
      <c r="AE154" s="34"/>
      <c r="AF154" s="39">
        <v>290</v>
      </c>
      <c r="AG154" s="48">
        <f>24.2+24.2+24.2+24.2+24.2+18+27.5+35.6+21.8+22+44.1</f>
        <v>290</v>
      </c>
      <c r="AH154" s="126">
        <f t="shared" si="121"/>
        <v>9535.62344</v>
      </c>
      <c r="AI154" s="126">
        <f t="shared" si="122"/>
        <v>9535.62344</v>
      </c>
      <c r="AJ154" s="43"/>
      <c r="AK154" s="43"/>
      <c r="AL154" s="134"/>
      <c r="AM154" s="41"/>
      <c r="AN154" s="41"/>
      <c r="AO154" s="41"/>
      <c r="AP154" s="41"/>
      <c r="AQ154" s="41"/>
      <c r="AR154" s="39"/>
      <c r="AS154" s="39"/>
      <c r="AT154" s="43"/>
      <c r="AU154" s="43"/>
      <c r="AV154" s="43"/>
      <c r="AW154" s="43"/>
      <c r="AX154" s="43"/>
      <c r="AY154" s="43"/>
      <c r="AZ154" s="39">
        <f t="shared" si="123"/>
        <v>0</v>
      </c>
      <c r="BA154" s="39">
        <f t="shared" si="117"/>
        <v>0</v>
      </c>
      <c r="BB154" s="39">
        <v>0</v>
      </c>
      <c r="BC154" s="39">
        <v>0</v>
      </c>
      <c r="BD154" s="39">
        <v>187.5</v>
      </c>
      <c r="BE154" s="43">
        <v>187.5</v>
      </c>
      <c r="BF154" s="43"/>
      <c r="BG154" s="43"/>
      <c r="BH154" s="43"/>
      <c r="BI154" s="43"/>
      <c r="BJ154" s="43"/>
      <c r="BK154" s="43"/>
      <c r="BL154" s="43"/>
      <c r="BM154" s="43"/>
      <c r="BN154" s="45"/>
      <c r="BO154" s="45"/>
      <c r="BP154" s="45"/>
      <c r="BQ154" s="45"/>
      <c r="BR154" s="43"/>
      <c r="BS154" s="43"/>
      <c r="BT154" s="43"/>
      <c r="BU154" s="43"/>
      <c r="BV154" s="45"/>
      <c r="BW154" s="45"/>
      <c r="BX154" s="43"/>
      <c r="BY154" s="45"/>
      <c r="BZ154" s="43"/>
      <c r="CA154" s="45"/>
      <c r="CB154" s="45"/>
      <c r="CC154" s="45"/>
      <c r="CD154" s="45"/>
      <c r="CE154" s="45"/>
      <c r="CF154" s="39">
        <f t="shared" si="124"/>
        <v>187.5</v>
      </c>
      <c r="CG154" s="39">
        <f t="shared" si="125"/>
        <v>187.5</v>
      </c>
      <c r="CH154" s="39"/>
      <c r="CI154" s="39"/>
      <c r="CJ154" s="39"/>
      <c r="CK154" s="45"/>
      <c r="CL154" s="45"/>
      <c r="CM154" s="43"/>
      <c r="CN154" s="43"/>
      <c r="CO154" s="43"/>
      <c r="CP154" s="43"/>
      <c r="CQ154" s="39"/>
      <c r="CR154" s="43"/>
      <c r="CS154" s="45"/>
      <c r="CT154" s="45"/>
      <c r="CU154" s="45"/>
      <c r="CV154" s="45"/>
      <c r="CW154" s="43"/>
      <c r="CX154" s="43"/>
      <c r="CY154" s="39"/>
      <c r="CZ154" s="39"/>
      <c r="DA154" s="45"/>
      <c r="DB154" s="39"/>
      <c r="DC154" s="39"/>
      <c r="DD154" s="39"/>
      <c r="DE154" s="39"/>
      <c r="DF154" s="39">
        <f t="shared" si="126"/>
        <v>0</v>
      </c>
      <c r="DG154" s="39">
        <f t="shared" si="127"/>
        <v>0</v>
      </c>
      <c r="DH154" s="39"/>
      <c r="DI154" s="39"/>
      <c r="DJ154" s="39">
        <v>0</v>
      </c>
      <c r="DK154" s="39">
        <f t="shared" si="118"/>
        <v>0</v>
      </c>
      <c r="DL154" s="39"/>
      <c r="DM154" s="39"/>
      <c r="DN154" s="43"/>
      <c r="DO154" s="43"/>
      <c r="DP154" s="39">
        <f t="shared" si="128"/>
        <v>0</v>
      </c>
      <c r="DQ154" s="39">
        <f t="shared" si="119"/>
        <v>0</v>
      </c>
      <c r="DR154" s="39"/>
      <c r="DS154" s="39"/>
      <c r="DT154" s="43"/>
      <c r="DU154" s="43"/>
      <c r="DV154" s="43"/>
      <c r="DW154" s="43"/>
      <c r="DX154" s="43"/>
      <c r="DY154" s="43"/>
      <c r="DZ154" s="39"/>
      <c r="EA154" s="39"/>
      <c r="EB154" s="43"/>
      <c r="EC154" s="43"/>
      <c r="ED154" s="43"/>
      <c r="EE154" s="43"/>
      <c r="EF154" s="39"/>
      <c r="EG154" s="43"/>
      <c r="EH154" s="43">
        <v>563</v>
      </c>
      <c r="EI154" s="39">
        <v>563</v>
      </c>
      <c r="EJ154" s="39">
        <v>294</v>
      </c>
      <c r="EK154" s="43">
        <v>294</v>
      </c>
      <c r="EL154" s="43"/>
      <c r="EM154" s="43"/>
      <c r="EN154" s="45"/>
      <c r="EO154" s="45"/>
      <c r="EP154" s="43"/>
      <c r="EQ154" s="43"/>
      <c r="ER154" s="43"/>
      <c r="ES154" s="43"/>
      <c r="ET154" s="135"/>
      <c r="EU154" s="135"/>
      <c r="EV154" s="135"/>
      <c r="EW154" s="135"/>
      <c r="EX154" s="43"/>
      <c r="EY154" s="43"/>
      <c r="EZ154" s="43"/>
      <c r="FA154" s="43"/>
      <c r="FB154" s="37">
        <f t="shared" si="129"/>
        <v>857</v>
      </c>
      <c r="FC154" s="37">
        <f t="shared" si="130"/>
        <v>857</v>
      </c>
      <c r="FD154" s="39"/>
      <c r="FE154" s="39"/>
      <c r="FF154" s="43"/>
      <c r="FG154" s="43"/>
      <c r="FH154" s="132">
        <f t="shared" si="131"/>
        <v>0</v>
      </c>
      <c r="FI154" s="132">
        <f t="shared" si="120"/>
        <v>0</v>
      </c>
      <c r="FJ154" s="39"/>
      <c r="FK154" s="39"/>
      <c r="FL154" s="39"/>
      <c r="FM154" s="39"/>
      <c r="FN154" s="138"/>
      <c r="FO154" s="138"/>
      <c r="FP154" s="138"/>
      <c r="FQ154" s="138"/>
      <c r="FR154" s="39"/>
      <c r="FS154" s="39"/>
      <c r="FT154" s="138"/>
      <c r="FU154" s="138"/>
      <c r="FV154" s="138"/>
      <c r="FW154" s="138"/>
      <c r="FX154" s="138"/>
      <c r="FY154" s="138"/>
      <c r="FZ154" s="138"/>
      <c r="GA154" s="138"/>
      <c r="GB154" s="138"/>
      <c r="GC154" s="138"/>
      <c r="GD154" s="39"/>
      <c r="GE154" s="39"/>
      <c r="GF154" s="138"/>
      <c r="GG154" s="138"/>
      <c r="GH154" s="138"/>
      <c r="GI154" s="138"/>
      <c r="GJ154" s="138"/>
      <c r="GK154" s="138"/>
      <c r="GL154" s="43"/>
      <c r="GM154" s="43"/>
      <c r="GN154" s="138"/>
      <c r="GO154" s="138"/>
      <c r="GP154" s="43"/>
      <c r="GQ154" s="43"/>
      <c r="GR154" s="43"/>
      <c r="GS154" s="43"/>
      <c r="GT154" s="43"/>
      <c r="GU154" s="43"/>
      <c r="GV154" s="43"/>
      <c r="GW154" s="43"/>
      <c r="GX154" s="45"/>
      <c r="GY154" s="45"/>
      <c r="GZ154" s="43"/>
      <c r="HA154" s="43"/>
      <c r="HB154" s="43"/>
      <c r="HC154" s="43"/>
      <c r="HD154" s="39">
        <f t="shared" si="132"/>
        <v>0</v>
      </c>
      <c r="HE154" s="39">
        <f t="shared" si="133"/>
        <v>0</v>
      </c>
      <c r="HF154" s="39"/>
      <c r="HG154" s="39"/>
      <c r="HH154" s="39"/>
      <c r="HI154" s="43"/>
      <c r="HJ154" s="43"/>
      <c r="HK154" s="43"/>
      <c r="HL154" s="43"/>
      <c r="HM154" s="43"/>
      <c r="HN154" s="136"/>
      <c r="HO154" s="136"/>
      <c r="HP154" s="39">
        <f t="shared" si="134"/>
        <v>0</v>
      </c>
      <c r="HQ154" s="39">
        <f t="shared" si="135"/>
        <v>0</v>
      </c>
      <c r="HR154" s="39"/>
      <c r="HS154" s="39"/>
      <c r="HT154" s="39"/>
      <c r="HU154" s="43"/>
      <c r="HV154" s="39"/>
      <c r="HW154" s="39"/>
      <c r="HX154" s="39">
        <f t="shared" si="136"/>
        <v>0</v>
      </c>
      <c r="HY154" s="39">
        <f t="shared" si="137"/>
        <v>0</v>
      </c>
    </row>
    <row r="155" spans="1:233" ht="12.75">
      <c r="A155" s="14" t="s">
        <v>292</v>
      </c>
      <c r="B155" s="34"/>
      <c r="C155" s="34"/>
      <c r="D155" s="39">
        <f>495+495+494+412+412+413+413+412+412+330+330+330</f>
        <v>4948</v>
      </c>
      <c r="E155" s="39">
        <f>495+495+494+412+412+413+413+412+412+330+330+330</f>
        <v>4948</v>
      </c>
      <c r="F155" s="34"/>
      <c r="G155" s="34"/>
      <c r="H155" s="34"/>
      <c r="I155" s="34"/>
      <c r="J155" s="34"/>
      <c r="K155" s="34"/>
      <c r="L155" s="34"/>
      <c r="M155" s="34"/>
      <c r="N155" s="34"/>
      <c r="O155" s="34"/>
      <c r="P155" s="51"/>
      <c r="Q155" s="51"/>
      <c r="R155" s="39">
        <v>310</v>
      </c>
      <c r="S155" s="39">
        <v>310</v>
      </c>
      <c r="T155" s="39">
        <v>111.47919</v>
      </c>
      <c r="U155" s="39">
        <v>111.47919</v>
      </c>
      <c r="V155" s="39">
        <v>915</v>
      </c>
      <c r="W155" s="39">
        <f>115+800</f>
        <v>915</v>
      </c>
      <c r="X155" s="34"/>
      <c r="Y155" s="34"/>
      <c r="Z155" s="34"/>
      <c r="AA155" s="34"/>
      <c r="AB155" s="34"/>
      <c r="AC155" s="34"/>
      <c r="AD155" s="34"/>
      <c r="AE155" s="34"/>
      <c r="AF155" s="39">
        <v>147</v>
      </c>
      <c r="AG155" s="48">
        <f>12.3+12.3+12.3+12.3+12.3+37.6+1.8+6.6+25+14.5</f>
        <v>147</v>
      </c>
      <c r="AH155" s="126">
        <f t="shared" si="121"/>
        <v>6431.47919</v>
      </c>
      <c r="AI155" s="126">
        <f t="shared" si="122"/>
        <v>6431.47919</v>
      </c>
      <c r="AJ155" s="43"/>
      <c r="AK155" s="43"/>
      <c r="AL155" s="134"/>
      <c r="AM155" s="41"/>
      <c r="AN155" s="41"/>
      <c r="AO155" s="41"/>
      <c r="AP155" s="41">
        <v>180</v>
      </c>
      <c r="AQ155" s="41">
        <v>180</v>
      </c>
      <c r="AR155" s="39"/>
      <c r="AS155" s="39"/>
      <c r="AT155" s="43"/>
      <c r="AU155" s="43"/>
      <c r="AV155" s="43"/>
      <c r="AW155" s="43"/>
      <c r="AX155" s="43"/>
      <c r="AY155" s="43"/>
      <c r="AZ155" s="39">
        <f t="shared" si="123"/>
        <v>180</v>
      </c>
      <c r="BA155" s="39">
        <f t="shared" si="117"/>
        <v>180</v>
      </c>
      <c r="BB155" s="39">
        <v>0</v>
      </c>
      <c r="BC155" s="39">
        <v>0</v>
      </c>
      <c r="BD155" s="39">
        <v>122.4</v>
      </c>
      <c r="BE155" s="43">
        <v>122.4</v>
      </c>
      <c r="BF155" s="43"/>
      <c r="BG155" s="43"/>
      <c r="BH155" s="43"/>
      <c r="BI155" s="43"/>
      <c r="BJ155" s="43"/>
      <c r="BK155" s="43"/>
      <c r="BL155" s="43"/>
      <c r="BM155" s="43"/>
      <c r="BN155" s="45"/>
      <c r="BO155" s="45"/>
      <c r="BP155" s="45"/>
      <c r="BQ155" s="45"/>
      <c r="BR155" s="43"/>
      <c r="BS155" s="43"/>
      <c r="BT155" s="43"/>
      <c r="BU155" s="43"/>
      <c r="BV155" s="45"/>
      <c r="BW155" s="45"/>
      <c r="BX155" s="43"/>
      <c r="BY155" s="45"/>
      <c r="BZ155" s="43"/>
      <c r="CA155" s="45"/>
      <c r="CB155" s="45"/>
      <c r="CC155" s="45"/>
      <c r="CD155" s="45"/>
      <c r="CE155" s="45"/>
      <c r="CF155" s="39">
        <f t="shared" si="124"/>
        <v>122.4</v>
      </c>
      <c r="CG155" s="39">
        <f t="shared" si="125"/>
        <v>122.4</v>
      </c>
      <c r="CH155" s="39"/>
      <c r="CI155" s="39"/>
      <c r="CJ155" s="39"/>
      <c r="CK155" s="45"/>
      <c r="CL155" s="45"/>
      <c r="CM155" s="43"/>
      <c r="CN155" s="43"/>
      <c r="CO155" s="43"/>
      <c r="CP155" s="43"/>
      <c r="CQ155" s="39"/>
      <c r="CR155" s="43"/>
      <c r="CS155" s="45"/>
      <c r="CT155" s="45"/>
      <c r="CU155" s="45"/>
      <c r="CV155" s="45"/>
      <c r="CW155" s="43"/>
      <c r="CX155" s="43"/>
      <c r="CY155" s="39"/>
      <c r="CZ155" s="39"/>
      <c r="DA155" s="45"/>
      <c r="DB155" s="39"/>
      <c r="DC155" s="39"/>
      <c r="DD155" s="39"/>
      <c r="DE155" s="39"/>
      <c r="DF155" s="39">
        <f t="shared" si="126"/>
        <v>0</v>
      </c>
      <c r="DG155" s="39">
        <f t="shared" si="127"/>
        <v>0</v>
      </c>
      <c r="DH155" s="39"/>
      <c r="DI155" s="39"/>
      <c r="DJ155" s="39">
        <v>0</v>
      </c>
      <c r="DK155" s="39">
        <f t="shared" si="118"/>
        <v>0</v>
      </c>
      <c r="DL155" s="39"/>
      <c r="DM155" s="39"/>
      <c r="DN155" s="43"/>
      <c r="DO155" s="43"/>
      <c r="DP155" s="39">
        <f t="shared" si="128"/>
        <v>0</v>
      </c>
      <c r="DQ155" s="39">
        <f t="shared" si="119"/>
        <v>0</v>
      </c>
      <c r="DR155" s="39"/>
      <c r="DS155" s="39"/>
      <c r="DT155" s="43"/>
      <c r="DU155" s="43"/>
      <c r="DV155" s="43"/>
      <c r="DW155" s="43"/>
      <c r="DX155" s="43"/>
      <c r="DY155" s="43"/>
      <c r="DZ155" s="39"/>
      <c r="EA155" s="39"/>
      <c r="EB155" s="43"/>
      <c r="EC155" s="43"/>
      <c r="ED155" s="43"/>
      <c r="EE155" s="43"/>
      <c r="EF155" s="39"/>
      <c r="EG155" s="43"/>
      <c r="EH155" s="43">
        <v>161</v>
      </c>
      <c r="EI155" s="39">
        <v>161</v>
      </c>
      <c r="EJ155" s="39">
        <v>191</v>
      </c>
      <c r="EK155" s="43">
        <v>191</v>
      </c>
      <c r="EL155" s="43"/>
      <c r="EM155" s="43"/>
      <c r="EN155" s="45"/>
      <c r="EO155" s="45"/>
      <c r="EP155" s="43"/>
      <c r="EQ155" s="43"/>
      <c r="ER155" s="43"/>
      <c r="ES155" s="43"/>
      <c r="ET155" s="135"/>
      <c r="EU155" s="135"/>
      <c r="EV155" s="135"/>
      <c r="EW155" s="135"/>
      <c r="EX155" s="43"/>
      <c r="EY155" s="43"/>
      <c r="EZ155" s="43"/>
      <c r="FA155" s="43"/>
      <c r="FB155" s="37">
        <f t="shared" si="129"/>
        <v>352</v>
      </c>
      <c r="FC155" s="37">
        <f t="shared" si="130"/>
        <v>352</v>
      </c>
      <c r="FD155" s="39"/>
      <c r="FE155" s="39"/>
      <c r="FF155" s="43"/>
      <c r="FG155" s="43"/>
      <c r="FH155" s="132">
        <f t="shared" si="131"/>
        <v>0</v>
      </c>
      <c r="FI155" s="132">
        <f t="shared" si="120"/>
        <v>0</v>
      </c>
      <c r="FJ155" s="39"/>
      <c r="FK155" s="39"/>
      <c r="FL155" s="39"/>
      <c r="FM155" s="39"/>
      <c r="FN155" s="39"/>
      <c r="FO155" s="39"/>
      <c r="FP155" s="138"/>
      <c r="FQ155" s="138"/>
      <c r="FR155" s="39"/>
      <c r="FS155" s="39"/>
      <c r="FT155" s="138"/>
      <c r="FU155" s="138"/>
      <c r="FV155" s="138"/>
      <c r="FW155" s="138"/>
      <c r="FX155" s="138"/>
      <c r="FY155" s="138"/>
      <c r="FZ155" s="138"/>
      <c r="GA155" s="138"/>
      <c r="GB155" s="138"/>
      <c r="GC155" s="138"/>
      <c r="GD155" s="39"/>
      <c r="GE155" s="39"/>
      <c r="GF155" s="138"/>
      <c r="GG155" s="138"/>
      <c r="GH155" s="138"/>
      <c r="GI155" s="138"/>
      <c r="GJ155" s="138"/>
      <c r="GK155" s="138"/>
      <c r="GL155" s="43"/>
      <c r="GM155" s="43"/>
      <c r="GN155" s="138"/>
      <c r="GO155" s="138"/>
      <c r="GP155" s="43"/>
      <c r="GQ155" s="43"/>
      <c r="GR155" s="43"/>
      <c r="GS155" s="43"/>
      <c r="GT155" s="43"/>
      <c r="GU155" s="43"/>
      <c r="GV155" s="43"/>
      <c r="GW155" s="43"/>
      <c r="GX155" s="45"/>
      <c r="GY155" s="45"/>
      <c r="GZ155" s="43"/>
      <c r="HA155" s="43"/>
      <c r="HB155" s="43"/>
      <c r="HC155" s="43"/>
      <c r="HD155" s="39">
        <f t="shared" si="132"/>
        <v>0</v>
      </c>
      <c r="HE155" s="39">
        <f t="shared" si="133"/>
        <v>0</v>
      </c>
      <c r="HF155" s="39"/>
      <c r="HG155" s="39"/>
      <c r="HH155" s="39"/>
      <c r="HI155" s="43"/>
      <c r="HJ155" s="43"/>
      <c r="HK155" s="43"/>
      <c r="HL155" s="43"/>
      <c r="HM155" s="43"/>
      <c r="HN155" s="136"/>
      <c r="HO155" s="136"/>
      <c r="HP155" s="39">
        <f t="shared" si="134"/>
        <v>0</v>
      </c>
      <c r="HQ155" s="39">
        <f t="shared" si="135"/>
        <v>0</v>
      </c>
      <c r="HR155" s="39"/>
      <c r="HS155" s="39"/>
      <c r="HT155" s="39"/>
      <c r="HU155" s="43"/>
      <c r="HV155" s="39"/>
      <c r="HW155" s="39"/>
      <c r="HX155" s="39">
        <f t="shared" si="136"/>
        <v>0</v>
      </c>
      <c r="HY155" s="39">
        <f t="shared" si="137"/>
        <v>0</v>
      </c>
    </row>
    <row r="156" spans="1:233" ht="12.75" customHeight="1" thickBot="1">
      <c r="A156" s="14" t="s">
        <v>293</v>
      </c>
      <c r="B156" s="34"/>
      <c r="C156" s="34"/>
      <c r="D156" s="39">
        <f>341+341+340+284+284+284+284+284+284+227+227+227</f>
        <v>3407</v>
      </c>
      <c r="E156" s="39">
        <f>341+341+340+284+284+284+284+284+284+227+227+227</f>
        <v>3407</v>
      </c>
      <c r="F156" s="34"/>
      <c r="G156" s="34"/>
      <c r="H156" s="34"/>
      <c r="I156" s="34"/>
      <c r="J156" s="34"/>
      <c r="K156" s="34"/>
      <c r="L156" s="34"/>
      <c r="M156" s="34"/>
      <c r="N156" s="34"/>
      <c r="O156" s="34"/>
      <c r="P156" s="51"/>
      <c r="Q156" s="51"/>
      <c r="R156" s="39">
        <v>40</v>
      </c>
      <c r="S156" s="39">
        <v>40</v>
      </c>
      <c r="T156" s="39">
        <v>1946.20798</v>
      </c>
      <c r="U156" s="39">
        <f>13.77798+1932.43</f>
        <v>1946.2079800000001</v>
      </c>
      <c r="V156" s="39">
        <v>133</v>
      </c>
      <c r="W156" s="39">
        <f>40+37+56</f>
        <v>133</v>
      </c>
      <c r="X156" s="34"/>
      <c r="Y156" s="34"/>
      <c r="Z156" s="34"/>
      <c r="AA156" s="34"/>
      <c r="AB156" s="34"/>
      <c r="AC156" s="34"/>
      <c r="AD156" s="34"/>
      <c r="AE156" s="34"/>
      <c r="AF156" s="39">
        <v>147</v>
      </c>
      <c r="AG156" s="48">
        <f>12.3+12.3+12.3+12.3+12.3+8+16.5+3.4+8.1+12.3+13+24.2</f>
        <v>147</v>
      </c>
      <c r="AH156" s="126">
        <f t="shared" si="121"/>
        <v>5673.20798</v>
      </c>
      <c r="AI156" s="126">
        <f t="shared" si="122"/>
        <v>5673.20798</v>
      </c>
      <c r="AJ156" s="43"/>
      <c r="AK156" s="43"/>
      <c r="AL156" s="134"/>
      <c r="AM156" s="41"/>
      <c r="AN156" s="41"/>
      <c r="AO156" s="41"/>
      <c r="AP156" s="41"/>
      <c r="AQ156" s="41"/>
      <c r="AR156" s="39"/>
      <c r="AS156" s="39"/>
      <c r="AT156" s="43"/>
      <c r="AU156" s="43"/>
      <c r="AV156" s="43"/>
      <c r="AW156" s="43"/>
      <c r="AX156" s="43"/>
      <c r="AY156" s="43"/>
      <c r="AZ156" s="39">
        <f t="shared" si="123"/>
        <v>0</v>
      </c>
      <c r="BA156" s="39">
        <f t="shared" si="117"/>
        <v>0</v>
      </c>
      <c r="BB156" s="39">
        <v>0</v>
      </c>
      <c r="BC156" s="39">
        <v>0</v>
      </c>
      <c r="BD156" s="39">
        <v>163.1</v>
      </c>
      <c r="BE156" s="43">
        <v>0</v>
      </c>
      <c r="BF156" s="43"/>
      <c r="BG156" s="43"/>
      <c r="BH156" s="43"/>
      <c r="BI156" s="43"/>
      <c r="BJ156" s="43"/>
      <c r="BK156" s="43"/>
      <c r="BL156" s="43"/>
      <c r="BM156" s="43"/>
      <c r="BN156" s="45"/>
      <c r="BO156" s="45"/>
      <c r="BP156" s="45"/>
      <c r="BQ156" s="45"/>
      <c r="BR156" s="43"/>
      <c r="BS156" s="43"/>
      <c r="BT156" s="43"/>
      <c r="BU156" s="43"/>
      <c r="BV156" s="45"/>
      <c r="BW156" s="45"/>
      <c r="BX156" s="43"/>
      <c r="BY156" s="45"/>
      <c r="BZ156" s="43"/>
      <c r="CA156" s="45"/>
      <c r="CB156" s="45"/>
      <c r="CC156" s="45"/>
      <c r="CD156" s="45"/>
      <c r="CE156" s="45"/>
      <c r="CF156" s="39">
        <f t="shared" si="124"/>
        <v>163.1</v>
      </c>
      <c r="CG156" s="39">
        <f t="shared" si="125"/>
        <v>0</v>
      </c>
      <c r="CH156" s="39"/>
      <c r="CI156" s="39"/>
      <c r="CJ156" s="39"/>
      <c r="CK156" s="45"/>
      <c r="CL156" s="45"/>
      <c r="CM156" s="43"/>
      <c r="CN156" s="43"/>
      <c r="CO156" s="43"/>
      <c r="CP156" s="43"/>
      <c r="CQ156" s="39"/>
      <c r="CR156" s="43"/>
      <c r="CS156" s="45"/>
      <c r="CT156" s="45"/>
      <c r="CU156" s="45"/>
      <c r="CV156" s="45"/>
      <c r="CW156" s="43"/>
      <c r="CX156" s="43"/>
      <c r="CY156" s="39"/>
      <c r="CZ156" s="39"/>
      <c r="DA156" s="45"/>
      <c r="DB156" s="39"/>
      <c r="DC156" s="39"/>
      <c r="DD156" s="39"/>
      <c r="DE156" s="39"/>
      <c r="DF156" s="39">
        <f t="shared" si="126"/>
        <v>0</v>
      </c>
      <c r="DG156" s="39">
        <f t="shared" si="127"/>
        <v>0</v>
      </c>
      <c r="DH156" s="39"/>
      <c r="DI156" s="39"/>
      <c r="DJ156" s="39">
        <v>0</v>
      </c>
      <c r="DK156" s="39">
        <f t="shared" si="118"/>
        <v>0</v>
      </c>
      <c r="DL156" s="39"/>
      <c r="DM156" s="39"/>
      <c r="DN156" s="43">
        <v>3032.2</v>
      </c>
      <c r="DO156" s="43">
        <v>3032.2</v>
      </c>
      <c r="DP156" s="39">
        <f t="shared" si="128"/>
        <v>3032.2</v>
      </c>
      <c r="DQ156" s="39">
        <f t="shared" si="119"/>
        <v>3032.2</v>
      </c>
      <c r="DR156" s="39"/>
      <c r="DS156" s="39"/>
      <c r="DT156" s="43"/>
      <c r="DU156" s="43"/>
      <c r="DV156" s="43"/>
      <c r="DW156" s="43"/>
      <c r="DX156" s="43"/>
      <c r="DY156" s="43"/>
      <c r="DZ156" s="39"/>
      <c r="EA156" s="39"/>
      <c r="EB156" s="43"/>
      <c r="EC156" s="43"/>
      <c r="ED156" s="43"/>
      <c r="EE156" s="43"/>
      <c r="EF156" s="39"/>
      <c r="EG156" s="43"/>
      <c r="EH156" s="43">
        <v>463</v>
      </c>
      <c r="EI156" s="39">
        <v>463</v>
      </c>
      <c r="EJ156" s="39">
        <v>119</v>
      </c>
      <c r="EK156" s="43">
        <v>119</v>
      </c>
      <c r="EL156" s="43"/>
      <c r="EM156" s="43"/>
      <c r="EN156" s="45"/>
      <c r="EO156" s="45"/>
      <c r="EP156" s="43"/>
      <c r="EQ156" s="43"/>
      <c r="ER156" s="43"/>
      <c r="ES156" s="43"/>
      <c r="ET156" s="135"/>
      <c r="EU156" s="135"/>
      <c r="EV156" s="135"/>
      <c r="EW156" s="135"/>
      <c r="EX156" s="43"/>
      <c r="EY156" s="43"/>
      <c r="EZ156" s="43"/>
      <c r="FA156" s="43"/>
      <c r="FB156" s="37">
        <f t="shared" si="129"/>
        <v>582</v>
      </c>
      <c r="FC156" s="37">
        <f t="shared" si="130"/>
        <v>582</v>
      </c>
      <c r="FD156" s="39"/>
      <c r="FE156" s="39"/>
      <c r="FF156" s="139"/>
      <c r="FG156" s="139"/>
      <c r="FH156" s="132">
        <f t="shared" si="131"/>
        <v>0</v>
      </c>
      <c r="FI156" s="132">
        <f t="shared" si="120"/>
        <v>0</v>
      </c>
      <c r="FJ156" s="39"/>
      <c r="FK156" s="39"/>
      <c r="FL156" s="39"/>
      <c r="FM156" s="39"/>
      <c r="FN156" s="39"/>
      <c r="FO156" s="39"/>
      <c r="FP156" s="39"/>
      <c r="FQ156" s="39"/>
      <c r="FR156" s="39"/>
      <c r="FS156" s="39"/>
      <c r="FT156" s="138"/>
      <c r="FU156" s="138"/>
      <c r="FV156" s="138"/>
      <c r="FW156" s="138"/>
      <c r="FX156" s="138"/>
      <c r="FY156" s="138"/>
      <c r="FZ156" s="138"/>
      <c r="GA156" s="138"/>
      <c r="GB156" s="138"/>
      <c r="GC156" s="138"/>
      <c r="GD156" s="39"/>
      <c r="GE156" s="39"/>
      <c r="GF156" s="138"/>
      <c r="GG156" s="138"/>
      <c r="GH156" s="138"/>
      <c r="GI156" s="138"/>
      <c r="GJ156" s="138"/>
      <c r="GK156" s="138"/>
      <c r="GL156" s="43"/>
      <c r="GM156" s="43"/>
      <c r="GN156" s="138"/>
      <c r="GO156" s="138"/>
      <c r="GP156" s="43"/>
      <c r="GQ156" s="43"/>
      <c r="GR156" s="45"/>
      <c r="GS156" s="45"/>
      <c r="GT156" s="43"/>
      <c r="GU156" s="43"/>
      <c r="GV156" s="43"/>
      <c r="GW156" s="43"/>
      <c r="GX156" s="45"/>
      <c r="GY156" s="45"/>
      <c r="GZ156" s="43"/>
      <c r="HA156" s="43"/>
      <c r="HB156" s="43"/>
      <c r="HC156" s="43"/>
      <c r="HD156" s="39">
        <f t="shared" si="132"/>
        <v>0</v>
      </c>
      <c r="HE156" s="39">
        <f t="shared" si="133"/>
        <v>0</v>
      </c>
      <c r="HF156" s="39"/>
      <c r="HG156" s="39"/>
      <c r="HH156" s="39"/>
      <c r="HI156" s="43"/>
      <c r="HJ156" s="43"/>
      <c r="HK156" s="43"/>
      <c r="HL156" s="43"/>
      <c r="HM156" s="43"/>
      <c r="HN156" s="136"/>
      <c r="HO156" s="136"/>
      <c r="HP156" s="39">
        <f t="shared" si="134"/>
        <v>0</v>
      </c>
      <c r="HQ156" s="39">
        <f t="shared" si="135"/>
        <v>0</v>
      </c>
      <c r="HR156" s="39"/>
      <c r="HS156" s="39"/>
      <c r="HT156" s="39"/>
      <c r="HU156" s="43"/>
      <c r="HV156" s="39"/>
      <c r="HW156" s="39"/>
      <c r="HX156" s="39">
        <f t="shared" si="136"/>
        <v>0</v>
      </c>
      <c r="HY156" s="39">
        <f t="shared" si="137"/>
        <v>0</v>
      </c>
    </row>
    <row r="157" spans="1:233" ht="13.5" thickBot="1">
      <c r="A157" s="16" t="s">
        <v>118</v>
      </c>
      <c r="B157" s="56">
        <f aca="true" t="shared" si="146" ref="B157:AI157">SUM(B13:B17)+B19+B29+B38+B44+B60+B68+B75+B82+B90+B100+B104+B114+B121+B135+B144+B151</f>
        <v>1056198</v>
      </c>
      <c r="C157" s="56">
        <f t="shared" si="146"/>
        <v>1056198</v>
      </c>
      <c r="D157" s="56">
        <f t="shared" si="146"/>
        <v>457469</v>
      </c>
      <c r="E157" s="56">
        <f t="shared" si="146"/>
        <v>457469</v>
      </c>
      <c r="F157" s="56">
        <f t="shared" si="146"/>
        <v>981060</v>
      </c>
      <c r="G157" s="56">
        <f t="shared" si="146"/>
        <v>981060</v>
      </c>
      <c r="H157" s="56">
        <f t="shared" si="146"/>
        <v>269061</v>
      </c>
      <c r="I157" s="56">
        <f t="shared" si="146"/>
        <v>269061</v>
      </c>
      <c r="J157" s="56">
        <f t="shared" si="146"/>
        <v>28499.999999999996</v>
      </c>
      <c r="K157" s="56">
        <f t="shared" si="146"/>
        <v>28499.999999999996</v>
      </c>
      <c r="L157" s="56">
        <f t="shared" si="146"/>
        <v>40000</v>
      </c>
      <c r="M157" s="56">
        <f t="shared" si="146"/>
        <v>40000</v>
      </c>
      <c r="N157" s="56">
        <f t="shared" si="146"/>
        <v>5000</v>
      </c>
      <c r="O157" s="56">
        <f t="shared" si="146"/>
        <v>5000</v>
      </c>
      <c r="P157" s="56">
        <f t="shared" si="146"/>
        <v>15000</v>
      </c>
      <c r="Q157" s="56">
        <f t="shared" si="146"/>
        <v>15000</v>
      </c>
      <c r="R157" s="57">
        <f t="shared" si="146"/>
        <v>94125</v>
      </c>
      <c r="S157" s="56">
        <f t="shared" si="146"/>
        <v>90366.53242</v>
      </c>
      <c r="T157" s="56">
        <f t="shared" si="146"/>
        <v>198446.74617000006</v>
      </c>
      <c r="U157" s="56">
        <f t="shared" si="146"/>
        <v>198431.56330000004</v>
      </c>
      <c r="V157" s="56">
        <f t="shared" si="146"/>
        <v>9955.09</v>
      </c>
      <c r="W157" s="56">
        <f t="shared" si="146"/>
        <v>9955.09</v>
      </c>
      <c r="X157" s="56">
        <f t="shared" si="146"/>
        <v>7000</v>
      </c>
      <c r="Y157" s="56">
        <f t="shared" si="146"/>
        <v>7000</v>
      </c>
      <c r="Z157" s="56">
        <f t="shared" si="146"/>
        <v>47500</v>
      </c>
      <c r="AA157" s="56">
        <f t="shared" si="146"/>
        <v>47500</v>
      </c>
      <c r="AB157" s="56">
        <f t="shared" si="146"/>
        <v>47500</v>
      </c>
      <c r="AC157" s="56">
        <f t="shared" si="146"/>
        <v>47500</v>
      </c>
      <c r="AD157" s="56">
        <f t="shared" si="146"/>
        <v>28500</v>
      </c>
      <c r="AE157" s="56">
        <f t="shared" si="146"/>
        <v>28500</v>
      </c>
      <c r="AF157" s="56">
        <f t="shared" si="146"/>
        <v>14795.1</v>
      </c>
      <c r="AG157" s="56">
        <f t="shared" si="146"/>
        <v>14589.47177</v>
      </c>
      <c r="AH157" s="56">
        <f t="shared" si="146"/>
        <v>3300109.9361699997</v>
      </c>
      <c r="AI157" s="56">
        <f t="shared" si="146"/>
        <v>3296130.6574899997</v>
      </c>
      <c r="AJ157" s="58">
        <f>SUM(AJ13:AJ17)+AJ19+AJ29+AJ38+AJ44+AJ60+AJ68+AJ75+AJ82+AJ90+AJ101+AJ104+AJ114+AJ121+AJ135+AJ144+AJ151</f>
        <v>12282.4</v>
      </c>
      <c r="AK157" s="58">
        <f>SUM(AK13:AK17)+AK19+AK29+AK38+AK44+AK60+AK68+AK75+AK82+AK90+AK101+AK104+AK114+AK121+AK135+AK144+AK151</f>
        <v>12282.4</v>
      </c>
      <c r="AL157" s="58">
        <f>SUM(AL13:AL17)+AL19+AL29+AL38+AL44+AL60+AL68+AL75+AL82+AL90+AL101+AL104+AL114+AL121+AL135+AL144+AL151</f>
        <v>13614.699999999999</v>
      </c>
      <c r="AM157" s="58">
        <f aca="true" t="shared" si="147" ref="AM157:BC157">SUM(AM13:AM17)+AM19+AM29+AM38+AM44+AM60+AM68+AM75+AM82+AM90+AM100+AM104+AM114+AM121+AM135+AM144+AM151</f>
        <v>13329.507660000001</v>
      </c>
      <c r="AN157" s="58">
        <f t="shared" si="147"/>
        <v>1800</v>
      </c>
      <c r="AO157" s="58">
        <f t="shared" si="147"/>
        <v>1800</v>
      </c>
      <c r="AP157" s="58">
        <f t="shared" si="147"/>
        <v>580</v>
      </c>
      <c r="AQ157" s="58">
        <f t="shared" si="147"/>
        <v>580</v>
      </c>
      <c r="AR157" s="58">
        <f t="shared" si="147"/>
        <v>10500</v>
      </c>
      <c r="AS157" s="58">
        <f t="shared" si="147"/>
        <v>10500</v>
      </c>
      <c r="AT157" s="58">
        <f t="shared" si="147"/>
        <v>1200</v>
      </c>
      <c r="AU157" s="58">
        <f t="shared" si="147"/>
        <v>1200</v>
      </c>
      <c r="AV157" s="58">
        <f t="shared" si="147"/>
        <v>500</v>
      </c>
      <c r="AW157" s="58">
        <f t="shared" si="147"/>
        <v>500</v>
      </c>
      <c r="AX157" s="58">
        <f t="shared" si="147"/>
        <v>27890.1</v>
      </c>
      <c r="AY157" s="58">
        <f t="shared" si="147"/>
        <v>27890.1</v>
      </c>
      <c r="AZ157" s="58">
        <f t="shared" si="147"/>
        <v>68367.2</v>
      </c>
      <c r="BA157" s="58">
        <f t="shared" si="147"/>
        <v>68082.00766</v>
      </c>
      <c r="BB157" s="58">
        <f t="shared" si="147"/>
        <v>56043</v>
      </c>
      <c r="BC157" s="58">
        <f t="shared" si="147"/>
        <v>56043</v>
      </c>
      <c r="BD157" s="58">
        <f aca="true" t="shared" si="148" ref="BD157:BI157">BD13+BD14+BD15+BD16+BD17+BD19+BD29+BD38+BD44+BD60+BD68+BD75+BD82+BD90+BD100+BD104+BD114+BD121+BD135+BD144+BD151</f>
        <v>16151.599999999999</v>
      </c>
      <c r="BE157" s="58">
        <f t="shared" si="148"/>
        <v>11143.321000000002</v>
      </c>
      <c r="BF157" s="58">
        <f t="shared" si="148"/>
        <v>5901.2</v>
      </c>
      <c r="BG157" s="58">
        <f t="shared" si="148"/>
        <v>5901.2</v>
      </c>
      <c r="BH157" s="58">
        <f t="shared" si="148"/>
        <v>138131.7</v>
      </c>
      <c r="BI157" s="58">
        <f t="shared" si="148"/>
        <v>131640.472</v>
      </c>
      <c r="BJ157" s="58">
        <f aca="true" t="shared" si="149" ref="BJ157:CH157">SUM(BJ13:BJ17)+BJ19+BJ29+BJ38+BJ44+BJ60+BJ68+BJ75+BJ82+BJ90+BJ100+BJ104+BJ114+BJ121+BJ135+BJ144+BJ151</f>
        <v>63700</v>
      </c>
      <c r="BK157" s="58">
        <f t="shared" si="149"/>
        <v>63700</v>
      </c>
      <c r="BL157" s="58">
        <f t="shared" si="149"/>
        <v>107338</v>
      </c>
      <c r="BM157" s="58">
        <f t="shared" si="149"/>
        <v>43615.952000000005</v>
      </c>
      <c r="BN157" s="58">
        <f t="shared" si="149"/>
        <v>20000</v>
      </c>
      <c r="BO157" s="58">
        <f t="shared" si="149"/>
        <v>19312.249</v>
      </c>
      <c r="BP157" s="58">
        <f t="shared" si="149"/>
        <v>45006.01</v>
      </c>
      <c r="BQ157" s="58">
        <f t="shared" si="149"/>
        <v>42330.873999999996</v>
      </c>
      <c r="BR157" s="58">
        <f t="shared" si="149"/>
        <v>40550</v>
      </c>
      <c r="BS157" s="58">
        <f t="shared" si="149"/>
        <v>40549.997</v>
      </c>
      <c r="BT157" s="58">
        <f t="shared" si="149"/>
        <v>53316.399999999994</v>
      </c>
      <c r="BU157" s="58">
        <f t="shared" si="149"/>
        <v>53316.399999999994</v>
      </c>
      <c r="BV157" s="58">
        <f t="shared" si="149"/>
        <v>70055.055</v>
      </c>
      <c r="BW157" s="58">
        <f t="shared" si="149"/>
        <v>68379.361</v>
      </c>
      <c r="BX157" s="58">
        <f t="shared" si="149"/>
        <v>63595.37000000001</v>
      </c>
      <c r="BY157" s="58">
        <f t="shared" si="149"/>
        <v>46889.884000000005</v>
      </c>
      <c r="BZ157" s="58">
        <f t="shared" si="149"/>
        <v>20525.4</v>
      </c>
      <c r="CA157" s="58">
        <f t="shared" si="149"/>
        <v>12814.2</v>
      </c>
      <c r="CB157" s="58">
        <f t="shared" si="149"/>
        <v>48197.49999999999</v>
      </c>
      <c r="CC157" s="58">
        <f t="shared" si="149"/>
        <v>48197.49999999999</v>
      </c>
      <c r="CD157" s="58">
        <f t="shared" si="149"/>
        <v>14720.100000000004</v>
      </c>
      <c r="CE157" s="58">
        <f t="shared" si="149"/>
        <v>14720.100000000004</v>
      </c>
      <c r="CF157" s="58">
        <f t="shared" si="149"/>
        <v>707188.3350000002</v>
      </c>
      <c r="CG157" s="58">
        <f t="shared" si="149"/>
        <v>602511.51</v>
      </c>
      <c r="CH157" s="58">
        <f t="shared" si="149"/>
        <v>223339.19346</v>
      </c>
      <c r="CI157" s="58">
        <f>SUM(CI13:CI17)+CI19+CI29+CI38+CI44+CI60+CI68+CI75+CI82+CI90+CI101+CI104+CI114+CI121+CI135+CI144+CI151</f>
        <v>213351.87118000002</v>
      </c>
      <c r="CJ157" s="58">
        <f>SUM(CJ13:CJ17)+CJ19+CJ29+CJ38+CJ44+CJ60+CJ68+CJ75+CJ82+CJ90+CJ101+CJ104+CJ114+CJ121+CJ135+CJ144+CJ151</f>
        <v>103497.20206000001</v>
      </c>
      <c r="CK157" s="58">
        <f aca="true" t="shared" si="150" ref="CK157:DD157">SUM(CK13:CK17)+CK19+CK29+CK38+CK44+CK60+CK68+CK75+CK82+CK90+CK100+CK104+CK114+CK121+CK135+CK144+CK151</f>
        <v>96305.06642000002</v>
      </c>
      <c r="CL157" s="58">
        <f t="shared" si="150"/>
        <v>18.189220000000002</v>
      </c>
      <c r="CM157" s="58">
        <f t="shared" si="150"/>
        <v>18.189220000000002</v>
      </c>
      <c r="CN157" s="58">
        <f t="shared" si="150"/>
        <v>5.77801</v>
      </c>
      <c r="CO157" s="58">
        <f t="shared" si="150"/>
        <v>5.77801</v>
      </c>
      <c r="CP157" s="58">
        <f t="shared" si="150"/>
        <v>72439.2</v>
      </c>
      <c r="CQ157" s="58">
        <f t="shared" si="150"/>
        <v>72420.731</v>
      </c>
      <c r="CR157" s="58">
        <f t="shared" si="150"/>
        <v>59782.00000000001</v>
      </c>
      <c r="CS157" s="58">
        <f t="shared" si="150"/>
        <v>59725.170000000006</v>
      </c>
      <c r="CT157" s="58">
        <f t="shared" si="150"/>
        <v>774.00606</v>
      </c>
      <c r="CU157" s="58">
        <f t="shared" si="150"/>
        <v>774.003</v>
      </c>
      <c r="CV157" s="58">
        <f t="shared" si="150"/>
        <v>182.358</v>
      </c>
      <c r="CW157" s="58">
        <f t="shared" si="150"/>
        <v>126.43907</v>
      </c>
      <c r="CX157" s="58">
        <f t="shared" si="150"/>
        <v>5764.32971</v>
      </c>
      <c r="CY157" s="58">
        <f t="shared" si="150"/>
        <v>2831.77493</v>
      </c>
      <c r="CZ157" s="58">
        <f t="shared" si="150"/>
        <v>8000</v>
      </c>
      <c r="DA157" s="58">
        <f t="shared" si="150"/>
        <v>7640.14756</v>
      </c>
      <c r="DB157" s="58">
        <f t="shared" si="150"/>
        <v>2302.2967200000003</v>
      </c>
      <c r="DC157" s="58">
        <f t="shared" si="150"/>
        <v>1112.413</v>
      </c>
      <c r="DD157" s="58">
        <f t="shared" si="150"/>
        <v>5790</v>
      </c>
      <c r="DE157" s="58">
        <f aca="true" t="shared" si="151" ref="DE157:DJ157">SUM(DE13:DE17)+DE19+DE29+DE38+DE44+DE60+DE68+DE75+DE82+DE90+DE100+DE104+DE114+DE121+DE135+DE144+DE151</f>
        <v>5790</v>
      </c>
      <c r="DF157" s="58">
        <f t="shared" si="151"/>
        <v>481894.55324</v>
      </c>
      <c r="DG157" s="58">
        <f t="shared" si="151"/>
        <v>460101.58339000004</v>
      </c>
      <c r="DH157" s="58">
        <f t="shared" si="151"/>
        <v>19420</v>
      </c>
      <c r="DI157" s="58">
        <f t="shared" si="151"/>
        <v>19259.93</v>
      </c>
      <c r="DJ157" s="58">
        <f t="shared" si="151"/>
        <v>19420</v>
      </c>
      <c r="DK157" s="58">
        <f>SUM(DK13:DK17)+DK19+DK29+DK38+DK44+DK60+DK68+DK75+DK82+DK90+DK101+DK104+DK114+DK121+DK135+DK144+DK151</f>
        <v>19259.93</v>
      </c>
      <c r="DL157" s="58">
        <f>SUM(DL13:DL17)+DL19+DL29+DL38+DL44+DL60+DL68+DL75+DL82+DL90+DL101+DL104+DL114+DL121+DL135+DL144+DL151</f>
        <v>21929.43</v>
      </c>
      <c r="DM157" s="58">
        <f>DM13+DM14+DM15+DM16+DM17+DM19+DM29+DM38+DM44+DM60+DM68+DM75+DM82+DM90+DM100+DM104+DM114+DM121+DM135+DM144+DM151</f>
        <v>21929.43</v>
      </c>
      <c r="DN157" s="58">
        <f>DN13+DN14+DN15+DN16+DN17+DN19+DN29+DN38+DN44+DN60+DN68+DN75+DN82+DN90+DN100+DN104+DN114+DN121+DN135+DN144+DN151</f>
        <v>3732.2</v>
      </c>
      <c r="DO157" s="58">
        <f>DO13+DO14+DO15+DO16+DO17+DO19+DO29+DO38+DO44+DO60+DO68+DO75+DO82+DO90+DO100+DO104+DO114+DO121+DO135+DO144+DO151</f>
        <v>3032.2</v>
      </c>
      <c r="DP157" s="58">
        <f>DP13+DP14+DP15+DP16+DP17+DP19+DP29+DP38+DP44+DP60+DP68+DP75+DP82+DP90+DP100+DP104+DP114+DP121+DP135+DP144+DP151</f>
        <v>25661.63</v>
      </c>
      <c r="DQ157" s="58">
        <f aca="true" t="shared" si="152" ref="DQ157:GB157">SUM(DQ13:DQ17)+DQ19+DQ29+DQ38+DQ44+DQ60+DQ68+DQ75+DQ82+DQ90+DQ100+DQ104+DQ114+DQ121+DQ135+DQ144+DQ151</f>
        <v>24961.63</v>
      </c>
      <c r="DR157" s="58">
        <f t="shared" si="152"/>
        <v>19</v>
      </c>
      <c r="DS157" s="58">
        <f t="shared" si="152"/>
        <v>19</v>
      </c>
      <c r="DT157" s="58">
        <f t="shared" si="152"/>
        <v>20</v>
      </c>
      <c r="DU157" s="58">
        <f t="shared" si="152"/>
        <v>20</v>
      </c>
      <c r="DV157" s="58">
        <f t="shared" si="152"/>
        <v>47</v>
      </c>
      <c r="DW157" s="58">
        <f t="shared" si="152"/>
        <v>47</v>
      </c>
      <c r="DX157" s="58">
        <f t="shared" si="152"/>
        <v>7</v>
      </c>
      <c r="DY157" s="58">
        <f t="shared" si="152"/>
        <v>7</v>
      </c>
      <c r="DZ157" s="58">
        <f t="shared" si="152"/>
        <v>1020</v>
      </c>
      <c r="EA157" s="58">
        <f t="shared" si="152"/>
        <v>1020</v>
      </c>
      <c r="EB157" s="58">
        <f t="shared" si="152"/>
        <v>195</v>
      </c>
      <c r="EC157" s="58">
        <f>SUM(EC13:EC17)+EC19+EC29+EC38+EC44+EC60+EC68+EC75+EC82+EC90+EC100+EC104+EC114+EC121+EC135+EC144+EC151</f>
        <v>195</v>
      </c>
      <c r="ED157" s="58">
        <f>SUM(ED13:ED17)+ED19+ED29+ED38+ED44+ED60+ED68+ED75+ED82+ED90+ED100+ED104+ED114+ED121+ED135+ED144+ED151</f>
        <v>1836</v>
      </c>
      <c r="EE157" s="58">
        <f t="shared" si="152"/>
        <v>1836</v>
      </c>
      <c r="EF157" s="58">
        <f t="shared" si="152"/>
        <v>49586.14</v>
      </c>
      <c r="EG157" s="58">
        <f t="shared" si="152"/>
        <v>47691.28659</v>
      </c>
      <c r="EH157" s="58">
        <f t="shared" si="152"/>
        <v>307316.70000000007</v>
      </c>
      <c r="EI157" s="58">
        <f t="shared" si="152"/>
        <v>307214.68509000004</v>
      </c>
      <c r="EJ157" s="58">
        <f t="shared" si="152"/>
        <v>16855</v>
      </c>
      <c r="EK157" s="58">
        <f t="shared" si="152"/>
        <v>15668.346</v>
      </c>
      <c r="EL157" s="58">
        <f t="shared" si="152"/>
        <v>3386.3</v>
      </c>
      <c r="EM157" s="58">
        <f t="shared" si="152"/>
        <v>3386.3</v>
      </c>
      <c r="EN157" s="58">
        <f t="shared" si="152"/>
        <v>1617</v>
      </c>
      <c r="EO157" s="58">
        <f t="shared" si="152"/>
        <v>1617</v>
      </c>
      <c r="EP157" s="58">
        <f t="shared" si="152"/>
        <v>3153</v>
      </c>
      <c r="EQ157" s="58">
        <f t="shared" si="152"/>
        <v>3153</v>
      </c>
      <c r="ER157" s="58">
        <f t="shared" si="152"/>
        <v>75200</v>
      </c>
      <c r="ES157" s="58">
        <f t="shared" si="152"/>
        <v>75200</v>
      </c>
      <c r="ET157" s="58">
        <f t="shared" si="152"/>
        <v>10300</v>
      </c>
      <c r="EU157" s="58">
        <f t="shared" si="152"/>
        <v>10300</v>
      </c>
      <c r="EV157" s="58">
        <f t="shared" si="152"/>
        <v>326.83700000000005</v>
      </c>
      <c r="EW157" s="58">
        <f t="shared" si="152"/>
        <v>326.83700000000005</v>
      </c>
      <c r="EX157" s="58">
        <f t="shared" si="152"/>
        <v>1000</v>
      </c>
      <c r="EY157" s="58">
        <f t="shared" si="152"/>
        <v>1000</v>
      </c>
      <c r="EZ157" s="58">
        <f t="shared" si="152"/>
        <v>450</v>
      </c>
      <c r="FA157" s="58">
        <f t="shared" si="152"/>
        <v>450</v>
      </c>
      <c r="FB157" s="58">
        <f t="shared" si="152"/>
        <v>472334.97699999996</v>
      </c>
      <c r="FC157" s="59">
        <f t="shared" si="152"/>
        <v>469151.45467999997</v>
      </c>
      <c r="FD157" s="59">
        <f t="shared" si="152"/>
        <v>5441.999999999999</v>
      </c>
      <c r="FE157" s="59">
        <f t="shared" si="152"/>
        <v>5441.999999999999</v>
      </c>
      <c r="FF157" s="59">
        <f t="shared" si="152"/>
        <v>589.6</v>
      </c>
      <c r="FG157" s="59">
        <f t="shared" si="152"/>
        <v>589.6</v>
      </c>
      <c r="FH157" s="59">
        <f t="shared" si="152"/>
        <v>6031.6</v>
      </c>
      <c r="FI157" s="59">
        <f t="shared" si="152"/>
        <v>6031.6</v>
      </c>
      <c r="FJ157" s="59">
        <f t="shared" si="152"/>
        <v>5135</v>
      </c>
      <c r="FK157" s="59">
        <f t="shared" si="152"/>
        <v>5135</v>
      </c>
      <c r="FL157" s="59">
        <f t="shared" si="152"/>
        <v>260</v>
      </c>
      <c r="FM157" s="59">
        <f t="shared" si="152"/>
        <v>260</v>
      </c>
      <c r="FN157" s="59">
        <f t="shared" si="152"/>
        <v>16160.6</v>
      </c>
      <c r="FO157" s="59">
        <f t="shared" si="152"/>
        <v>8839.021</v>
      </c>
      <c r="FP157" s="59">
        <f t="shared" si="152"/>
        <v>89379</v>
      </c>
      <c r="FQ157" s="59">
        <f t="shared" si="152"/>
        <v>89379</v>
      </c>
      <c r="FR157" s="59">
        <f t="shared" si="152"/>
        <v>169853.10000000003</v>
      </c>
      <c r="FS157" s="59">
        <f t="shared" si="152"/>
        <v>121572.254</v>
      </c>
      <c r="FT157" s="59">
        <f t="shared" si="152"/>
        <v>66900.6</v>
      </c>
      <c r="FU157" s="59">
        <f t="shared" si="152"/>
        <v>66900.6</v>
      </c>
      <c r="FV157" s="59">
        <f t="shared" si="152"/>
        <v>46193</v>
      </c>
      <c r="FW157" s="59">
        <f t="shared" si="152"/>
        <v>46193</v>
      </c>
      <c r="FX157" s="59">
        <f t="shared" si="152"/>
        <v>187314</v>
      </c>
      <c r="FY157" s="59">
        <f t="shared" si="152"/>
        <v>187314</v>
      </c>
      <c r="FZ157" s="59">
        <f t="shared" si="152"/>
        <v>163248</v>
      </c>
      <c r="GA157" s="59">
        <f t="shared" si="152"/>
        <v>163248</v>
      </c>
      <c r="GB157" s="59">
        <f t="shared" si="152"/>
        <v>21561.199999999997</v>
      </c>
      <c r="GC157" s="58">
        <f>SUM(GC13:GC17)+GC19+GC29+GC38+GC44+GC60+GC68+GC75+GC82+GC90+GC100+GC104+GC114+GC121+GC135+GC144+GC151</f>
        <v>21561.199999999997</v>
      </c>
      <c r="GD157" s="58">
        <f>SUM(GD13:GD17)+GD19+GD29+GD38+GD44+GD60+GD68+GD75+GD82+GD90+GD100+GD104+GD114+GD121+GD135+GD144+GD151</f>
        <v>609594.3879999999</v>
      </c>
      <c r="GE157" s="58">
        <f>SUM(GE13:GE17)+GE19+GE29+GE38+GE44+GE60+GE68+GE75+GE82+GE90+GE100+GE104+GE114+GE121+GE135+GE144+GE151</f>
        <v>354703.7480000001</v>
      </c>
      <c r="GF157" s="58">
        <f>SUM(GF13:GF17)+GF19+GF29+GF38+GF44+GF60+GF68+GF75+GF82+GF90+GF100+GF104+GF114+GF121+GF135+GF144+GF151</f>
        <v>32470.00000000001</v>
      </c>
      <c r="GG157" s="58">
        <f>SUM(GG13:GG17)+GG19+GG29+GG38+GG44+GG60+GG68+GG75+GG82+GG90+GG100+GG104+GG114+GG121+GG135+GG144+GG151</f>
        <v>32470.00000000001</v>
      </c>
      <c r="GH157" s="58">
        <f>SUM(GH13:GH17)+GH19+GH29+GH38+GH44+GH60+GH68+GH75+GH82+GH90+GH100+GH104+GH114+GH121+GH135+GH144+GH151</f>
        <v>13902.099999999997</v>
      </c>
      <c r="GI157" s="58">
        <f>SUM(GI13:GI17)+GI19+GI29+GI38+GI44+GI60+GI68+GI75+GI82+GI90+GI100+GI104+GI114+GI121+GI135+GI144+GI151</f>
        <v>13902.099999999997</v>
      </c>
      <c r="GJ157" s="58">
        <f>SUM(GJ13:GJ17)+GJ19+GJ29+GJ38+GJ44+GJ60+GJ68+GJ75+GJ82+GJ90+GJ100+GJ104+GJ114+GJ121+GJ135+GJ144+GJ151</f>
        <v>2426965.9999999995</v>
      </c>
      <c r="GK157" s="58">
        <f>SUM(GK13:GK17)+GK19+GK29+GK38+GK44+GK60+GK68+GK75+GK82+GK90+GK100+GK104+GK114+GK121+GK135+GK144+GK151</f>
        <v>2426965.9999999995</v>
      </c>
      <c r="GL157" s="58">
        <f>SUM(GL13:GL17)+GL19+GL29+GL38+GL44+GL60+GL68+GL75+GL82+GL90+GL100+GL104+GL114+GL121+GL135+GL144+GL151</f>
        <v>4360735</v>
      </c>
      <c r="GM157" s="58">
        <f>SUM(GM13:GM17)+GM19+GM29+GM38+GM44+GM60+GM68+GM75+GM82+GM90+GM100+GM104+GM114+GM121+GM135+GM144+GM151</f>
        <v>4360735</v>
      </c>
      <c r="GN157" s="58">
        <f>SUM(GN13:GN17)+GN19+GN29+GN38+GN44+GN60+GN68+GN75+GN82+GN90+GN100+GN104+GN114+GN121+GN135+GN144+GN151</f>
        <v>33256</v>
      </c>
      <c r="GO157" s="58">
        <f>SUM(GO13:GO17)+GO19+GO29+GO38+GO44+GO60+GO68+GO75+GO82+GO90+GO100+GO104+GO114+GO121+GO135+GO144+GO151</f>
        <v>33256</v>
      </c>
      <c r="GP157" s="58">
        <f>SUM(GP13:GP17)+GP19+GP29+GP38+GP44+GP60+GP68+GP75+GP82+GP90+GP100+GP104+GP114+GP121+GP135+GP144+GP151</f>
        <v>315946.4000000001</v>
      </c>
      <c r="GQ157" s="58">
        <f>SUM(GQ13:GQ17)+GQ19+GQ29+GQ38+GQ44+GQ60+GQ68+GQ75+GQ82+GQ90+GQ100+GQ104+GQ114+GQ121+GQ135+GQ144+GQ151</f>
        <v>315946.4000000001</v>
      </c>
      <c r="GR157" s="58">
        <f>SUM(GR13:GR17)+GR19+GR29+GR38+GR44+GR60+GR68+GR75+GR82+GR90+GR100+GR104+GR114+GR121+GR135+GR144+GR151</f>
        <v>36999</v>
      </c>
      <c r="GS157" s="58">
        <f>SUM(GS13:GS17)+GS19+GS29+GS38+GS44+GS60+GS68+GS75+GS82+GS90+GS100+GS104+GS114+GS121+GS135+GS144+GS151</f>
        <v>35837.6</v>
      </c>
      <c r="GT157" s="58">
        <f>SUM(GT13:GT17)+GT19+GT29+GT38+GT44+GT60+GT68+GT75+GT82+GT90+GT100+GT104+GT114+GT121+GT135+GT144+GT151</f>
        <v>11271</v>
      </c>
      <c r="GU157" s="58">
        <f>SUM(GU13:GU17)+GU19+GU29+GU38+GU44+GU60+GU68+GU75+GU82+GU90+GU100+GU104+GU114+GU121+GU135+GU144+GU151</f>
        <v>11267</v>
      </c>
      <c r="GV157" s="58">
        <f>SUM(GV13:GV17)+GV19+GV29+GV38+GV44+GV60+GV68+GV75+GV82+GV90+GV100+GV104+GV114+GV121+GV135+GV144+GV151</f>
        <v>430723</v>
      </c>
      <c r="GW157" s="58">
        <f>SUM(GW13:GW17)+GW19+GW29+GW38+GW44+GW60+GW68+GW75+GW82+GW90+GW100+GW104+GW114+GW121+GW135+GW144+GW151</f>
        <v>430723</v>
      </c>
      <c r="GX157" s="58">
        <f>SUM(GX13:GX17)+GX19+GX29+GX38+GX44+GX60+GX68+GX75+GX82+GX90+GX100+GX104+GX114+GX121+GX135+GX144+GX151</f>
        <v>142856.40999999997</v>
      </c>
      <c r="GY157" s="58">
        <f>SUM(GY13:GY17)+GY19+GY29+GY38+GY44+GY60+GY68+GY75+GY82+GY90+GY100+GY104+GY114+GY121+GY135+GY144+GY151</f>
        <v>142856.40999999997</v>
      </c>
      <c r="GZ157" s="58">
        <f>SUM(GZ13:GZ17)+GZ19+GZ29+GZ38+GZ44+GZ60+GZ68+GZ75+GZ82+GZ90+GZ100+GZ104+GZ114+GZ121+GZ135+GZ144+GZ151</f>
        <v>1000</v>
      </c>
      <c r="HA157" s="58">
        <f>SUM(HA13:HA17)+HA19+HA29+HA38+HA44+HA60+HA68+HA75+HA82+HA90+HA100+HA104+HA114+HA121+HA135+HA144+HA151</f>
        <v>1000</v>
      </c>
      <c r="HB157" s="58">
        <f>SUM(HB13:HB17)+HB19+HB29+HB38+HB44+HB60+HB68+HB75+HB82+HB90+HB100+HB104+HB114+HB121+HB135+HB144+HB151</f>
        <v>6211.300000000001</v>
      </c>
      <c r="HC157" s="58">
        <f>SUM(HC13:HC17)+HC19+HC29+HC38+HC44+HC60+HC68+HC75+HC82+HC90+HC100+HC104+HC114+HC121+HC135+HC144+HC151</f>
        <v>6211.300000000001</v>
      </c>
      <c r="HD157" s="58">
        <f>SUM(HD13:HD17)+HD19+HD29+HD38+HD44+HD60+HD68+HD75+HD82+HD90+HD100+HD104+HD114+HD121+HD135+HD144+HD151</f>
        <v>9187935.097999997</v>
      </c>
      <c r="HE157" s="58">
        <f>SUM(HE13:HE17)+HE19+HE29+HE38+HE44+HE60+HE68+HE75+HE82+HE90+HE100+HE104+HE114+HE121+HE135+HE144+HE151</f>
        <v>8876276.632999998</v>
      </c>
      <c r="HF157" s="58">
        <f>SUM(HF13:HF17)+HF19+HF29+HF38+HF44+HF60+HF68+HF75+HF82+HF90+HF100+HF104+HF114+HF121+HF135+HF144+HF151</f>
        <v>798</v>
      </c>
      <c r="HG157" s="58">
        <f>SUM(HG13:HG17)+HG19+HG29+HG38+HG44+HG60+HG68+HG75+HG82+HG90+HG100+HG104+HG114+HG121+HG135+HG144+HG151</f>
        <v>798</v>
      </c>
      <c r="HH157" s="58">
        <f>SUM(HH13:HH17)+HH19+HH29+HH38+HH44+HH60+HH68+HH75+HH82+HH90+HH100+HH104+HH114+HH121+HH135+HH144+HH151</f>
        <v>102218</v>
      </c>
      <c r="HI157" s="58">
        <f>SUM(HI13:HI17)+HI19+HI29+HI38+HI44+HI60+HI68+HI75+HI82+HI90+HI100+HI104+HI114+HI121+HI135+HI144+HI151</f>
        <v>72597.33859999999</v>
      </c>
      <c r="HJ157" s="58">
        <f>SUM(HJ13:HJ17)+HJ19+HJ29+HJ38+HJ44+HJ60+HJ68+HJ75+HJ82+HJ90+HJ100+HJ104+HJ114+HJ121+HJ135+HJ144+HJ151</f>
        <v>42.8</v>
      </c>
      <c r="HK157" s="58">
        <f>SUM(HK13:HK17)+HK19+HK29+HK38+HK44+HK60+HK68+HK75+HK82+HK90+HK100+HK104+HK114+HK121+HK135+HK144+HK151</f>
        <v>42.8</v>
      </c>
      <c r="HL157" s="58">
        <f>SUM(HL13:HL17)+HL19+HL29+HL38+HL44+HL60+HL68+HL75+HL82+HL90+HL100+HL104+HL114+HL121+HL135+HL144+HL151</f>
        <v>665</v>
      </c>
      <c r="HM157" s="58">
        <f>SUM(HM13:HM17)+HM19+HM29+HM38+HM44+HM60+HM68+HM75+HM82+HM90+HM100+HM104+HM114+HM121+HM135+HM144+HM151</f>
        <v>665</v>
      </c>
      <c r="HN157" s="58">
        <f>SUM(HN13:HN17)+HN19+HN29+HN38+HN44+HN60+HN68+HN75+HN82+HN90+HN100+HN104+HN114+HN121+HN135+HN144+HN151</f>
        <v>125000</v>
      </c>
      <c r="HO157" s="58">
        <f>SUM(HO13:HO17)+HO19+HO29+HO38+HO44+HO60+HO68+HO75+HO82+HO90+HO100+HO104+HO114+HO121+HO135+HO144+HO151</f>
        <v>125000</v>
      </c>
      <c r="HP157" s="58">
        <f>SUM(HP13:HP17)+HP19+HP29+HP38+HP44+HP60+HP68+HP75+HP82+HP90+HP100+HP104+HP114+HP121+HP135+HP144+HP151</f>
        <v>228723.80000000002</v>
      </c>
      <c r="HQ157" s="58">
        <f>SUM(HQ13:HQ17)+HQ19+HQ29+HQ38+HQ44+HQ60+HQ68+HQ75+HQ82+HQ90+HQ100+HQ104+HQ114+HQ121+HQ135+HQ144+HQ151</f>
        <v>199103.13860000003</v>
      </c>
      <c r="HR157" s="58">
        <f>SUM(HR13:HR17)+HR19+HR29+HR38+HR44+HR60+HR68+HR75+HR82+HR90+HR100+HR104+HR114+HR121+HR135+HR144+HR151</f>
        <v>2460</v>
      </c>
      <c r="HS157" s="58">
        <f>SUM(HS13:HS17)+HS19+HS29+HS38+HS44+HS60+HS68+HS75+HS82+HS90+HS100+HS104+HS114+HS121+HS135+HS144+HS151</f>
        <v>2460</v>
      </c>
      <c r="HT157" s="58">
        <f>SUM(HT13:HT17)+HT19+HT29+HT38+HT44+HT60+HT68+HT75+HT82+HT90+HT100+HT104+HT114+HT121+HT135+HT144+HT151</f>
        <v>10488</v>
      </c>
      <c r="HU157" s="58">
        <f>SUM(HU13:HU17)+HU19+HU29+HU38+HU44+HU60+HU68+HU75+HU82+HU90+HU100+HU104+HU114+HU121+HU135+HU144+HU151</f>
        <v>10303.06</v>
      </c>
      <c r="HV157" s="58">
        <f>SUM(HV13:HV17)+HV19+HV29+HV38+HV44+HV60+HV68+HV75+HV82+HV90+HV100+HV104+HV114+HV121+HV135+HV144+HV151</f>
        <v>171.23399999999995</v>
      </c>
      <c r="HW157" s="58">
        <f>SUM(HW13:HW17)+HW19+HW29+HW38+HW44+HW60+HW68+HW75+HW82+HW90+HW100+HW104+HW114+HW121+HW135+HW144+HW151</f>
        <v>171.23399999999995</v>
      </c>
      <c r="HX157" s="58">
        <f>SUM(HX13:HX17)+HX19+HX29+HX38+HX44+HX60+HX68+HX75+HX82+HX90+HX100+HX104+HX114+HX121+HX135+HX144+HX151</f>
        <v>13119.234000000004</v>
      </c>
      <c r="HY157" s="58">
        <f>SUM(HY13:HY17)+HY19+HY29+HY38+HY44+HY60+HY68+HY75+HY82+HY90+HY100+HY104+HY114+HY121+HY135+HY144+HY151</f>
        <v>12934.294000000002</v>
      </c>
    </row>
    <row r="158" spans="3:231" ht="12.75">
      <c r="C158" s="2"/>
      <c r="E158" s="2"/>
      <c r="G158" s="2"/>
      <c r="I158" s="2"/>
      <c r="K158" s="2"/>
      <c r="M158" s="2"/>
      <c r="O158" s="2"/>
      <c r="Q158" s="2"/>
      <c r="S158" s="2"/>
      <c r="U158" s="2"/>
      <c r="W158" s="2"/>
      <c r="Y158" s="2"/>
      <c r="AA158" s="2"/>
      <c r="AC158" s="2"/>
      <c r="AE158" s="2"/>
      <c r="AG158" s="2"/>
      <c r="AK158" s="2"/>
      <c r="AM158" s="2"/>
      <c r="AO158" s="8"/>
      <c r="AQ158" s="2"/>
      <c r="AS158" s="2"/>
      <c r="AU158" s="2"/>
      <c r="AW158" s="2"/>
      <c r="AY158" s="2"/>
      <c r="BG158" s="2"/>
      <c r="BI158" s="2"/>
      <c r="BK158" s="2"/>
      <c r="BM158" s="2"/>
      <c r="BO158" s="2"/>
      <c r="BQ158" s="2"/>
      <c r="BS158" s="2"/>
      <c r="BU158" s="2"/>
      <c r="BW158" s="2"/>
      <c r="BY158" s="2"/>
      <c r="CA158" s="2"/>
      <c r="CC158" s="2"/>
      <c r="CE158" s="2"/>
      <c r="CI158" s="2"/>
      <c r="CK158" s="2"/>
      <c r="CM158" s="2"/>
      <c r="CO158" s="2"/>
      <c r="CQ158" s="2"/>
      <c r="CS158" s="2"/>
      <c r="CU158" s="2"/>
      <c r="CW158" s="2"/>
      <c r="CY158" s="2"/>
      <c r="DA158" s="2"/>
      <c r="DC158" s="2"/>
      <c r="DE158" s="2"/>
      <c r="DI158" s="2"/>
      <c r="DM158" s="2"/>
      <c r="DO158" s="2"/>
      <c r="DS158" s="2"/>
      <c r="DU158" s="2"/>
      <c r="DW158" s="2"/>
      <c r="DY158" s="2"/>
      <c r="EA158" s="2"/>
      <c r="EC158" s="2"/>
      <c r="EE158" s="2"/>
      <c r="EG158" s="2"/>
      <c r="EI158" s="2"/>
      <c r="EK158" s="2"/>
      <c r="EM158" s="2"/>
      <c r="EO158" s="2"/>
      <c r="EQ158" s="2"/>
      <c r="ES158" s="2"/>
      <c r="EU158" s="2"/>
      <c r="EW158" s="2"/>
      <c r="EY158" s="2"/>
      <c r="FA158" s="2"/>
      <c r="FE158" s="2"/>
      <c r="FG158" s="2"/>
      <c r="FK158" s="2"/>
      <c r="FM158" s="2"/>
      <c r="FO158" s="2"/>
      <c r="FQ158" s="2"/>
      <c r="FS158" s="2"/>
      <c r="FU158" s="2"/>
      <c r="FW158" s="2"/>
      <c r="FY158" s="2"/>
      <c r="GA158" s="2"/>
      <c r="GC158" s="2"/>
      <c r="GE158" s="2"/>
      <c r="GG158" s="2"/>
      <c r="GI158" s="2"/>
      <c r="GK158" s="2"/>
      <c r="GM158" s="2"/>
      <c r="GO158" s="2"/>
      <c r="GQ158" s="2"/>
      <c r="GS158" s="2"/>
      <c r="GU158" s="2"/>
      <c r="GW158" s="2"/>
      <c r="GY158" s="2"/>
      <c r="HA158" s="2"/>
      <c r="HC158" s="2"/>
      <c r="HG158" s="2"/>
      <c r="HI158" s="2"/>
      <c r="HK158" s="2"/>
      <c r="HM158" s="2"/>
      <c r="HO158" s="2"/>
      <c r="HR158" s="2"/>
      <c r="HS158" s="2"/>
      <c r="HU158" s="2"/>
      <c r="HW158" s="2"/>
    </row>
    <row r="159" spans="3:231" ht="57.75" customHeight="1">
      <c r="C159" s="2"/>
      <c r="E159" s="2"/>
      <c r="G159" s="2"/>
      <c r="I159" s="2"/>
      <c r="K159" s="2"/>
      <c r="M159" s="2"/>
      <c r="O159" s="2"/>
      <c r="Q159" s="2"/>
      <c r="S159" s="2"/>
      <c r="U159" s="2"/>
      <c r="W159" s="2"/>
      <c r="Y159" s="2"/>
      <c r="AA159" s="2"/>
      <c r="AC159" s="2"/>
      <c r="AE159" s="2"/>
      <c r="AG159" s="2"/>
      <c r="AK159" s="2"/>
      <c r="AM159" s="2"/>
      <c r="AO159" s="8"/>
      <c r="AQ159" s="2"/>
      <c r="AS159" s="2"/>
      <c r="AU159" s="2"/>
      <c r="AW159" s="2"/>
      <c r="AY159" s="2"/>
      <c r="BG159" s="2"/>
      <c r="BI159" s="2"/>
      <c r="BK159" s="2"/>
      <c r="BM159" s="2"/>
      <c r="BO159" s="2"/>
      <c r="BQ159" s="2"/>
      <c r="BS159" s="2"/>
      <c r="BU159" s="2"/>
      <c r="BW159" s="2"/>
      <c r="BY159" s="2"/>
      <c r="CA159" s="2"/>
      <c r="CC159" s="2"/>
      <c r="CE159" s="2"/>
      <c r="CI159" s="2"/>
      <c r="CK159" s="2"/>
      <c r="CM159" s="2"/>
      <c r="CO159" s="2"/>
      <c r="CQ159" s="2"/>
      <c r="CS159" s="2"/>
      <c r="CU159" s="2"/>
      <c r="CW159" s="2"/>
      <c r="CY159" s="2"/>
      <c r="DA159" s="2"/>
      <c r="DC159" s="2"/>
      <c r="DE159" s="2"/>
      <c r="DI159" s="2"/>
      <c r="DM159" s="2"/>
      <c r="DO159" s="2"/>
      <c r="DS159" s="2"/>
      <c r="DU159" s="2"/>
      <c r="DW159" s="2"/>
      <c r="DY159" s="2"/>
      <c r="EA159" s="2"/>
      <c r="EC159" s="2"/>
      <c r="EE159" s="2"/>
      <c r="EG159" s="2"/>
      <c r="EI159" s="2"/>
      <c r="EK159" s="2"/>
      <c r="EM159" s="2"/>
      <c r="EO159" s="2"/>
      <c r="EQ159" s="2"/>
      <c r="ES159" s="2"/>
      <c r="EU159" s="2"/>
      <c r="EW159" s="2"/>
      <c r="EY159" s="2"/>
      <c r="FA159" s="2"/>
      <c r="FE159" s="2"/>
      <c r="FG159" s="2"/>
      <c r="FK159" s="2"/>
      <c r="FM159" s="2"/>
      <c r="FO159" s="2"/>
      <c r="FQ159" s="2"/>
      <c r="FS159" s="2"/>
      <c r="FU159" s="2"/>
      <c r="FW159" s="2"/>
      <c r="FY159" s="2"/>
      <c r="GA159" s="2"/>
      <c r="GC159" s="2"/>
      <c r="GE159" s="2"/>
      <c r="GG159" s="2"/>
      <c r="GI159" s="2"/>
      <c r="GK159" s="2"/>
      <c r="GM159" s="2"/>
      <c r="GO159" s="2"/>
      <c r="GQ159" s="2"/>
      <c r="GS159" s="2"/>
      <c r="GU159" s="2"/>
      <c r="GW159" s="2"/>
      <c r="GY159" s="2"/>
      <c r="HA159" s="2"/>
      <c r="HC159" s="2"/>
      <c r="HG159" s="2"/>
      <c r="HI159" s="2"/>
      <c r="HK159" s="2"/>
      <c r="HM159" s="2"/>
      <c r="HO159" s="2"/>
      <c r="HR159" s="2"/>
      <c r="HS159" s="2"/>
      <c r="HU159" s="2"/>
      <c r="HW159" s="2"/>
    </row>
    <row r="160" spans="3:231" ht="12.75">
      <c r="C160" s="2"/>
      <c r="E160" s="2"/>
      <c r="G160" s="2"/>
      <c r="I160" s="2"/>
      <c r="K160" s="2"/>
      <c r="M160" s="2"/>
      <c r="O160" s="2"/>
      <c r="Q160" s="2"/>
      <c r="S160" s="2"/>
      <c r="U160" s="2"/>
      <c r="W160" s="2"/>
      <c r="Y160" s="2"/>
      <c r="AA160" s="2"/>
      <c r="AC160" s="2"/>
      <c r="AE160" s="2"/>
      <c r="AG160" s="2"/>
      <c r="AK160" s="2"/>
      <c r="AM160" s="2"/>
      <c r="AO160" s="8"/>
      <c r="AQ160" s="2"/>
      <c r="AS160" s="8"/>
      <c r="AU160" s="2"/>
      <c r="AW160" s="2"/>
      <c r="AY160" s="2"/>
      <c r="BG160" s="2"/>
      <c r="BI160" s="2"/>
      <c r="BK160" s="2"/>
      <c r="BM160" s="2"/>
      <c r="BO160" s="2"/>
      <c r="BQ160" s="2"/>
      <c r="BS160" s="2"/>
      <c r="BU160" s="2"/>
      <c r="BW160" s="2"/>
      <c r="BY160" s="2"/>
      <c r="CA160" s="2"/>
      <c r="CC160" s="2"/>
      <c r="CE160" s="2"/>
      <c r="CI160" s="2"/>
      <c r="CK160" s="2"/>
      <c r="CM160" s="2"/>
      <c r="CO160" s="2"/>
      <c r="CQ160" s="2"/>
      <c r="CS160" s="2"/>
      <c r="CU160" s="2"/>
      <c r="CW160" s="2"/>
      <c r="CY160" s="2"/>
      <c r="DA160" s="2"/>
      <c r="DC160" s="2"/>
      <c r="DE160" s="2"/>
      <c r="DI160" s="2"/>
      <c r="DM160" s="2"/>
      <c r="DO160" s="2"/>
      <c r="DS160" s="2"/>
      <c r="DU160" s="2"/>
      <c r="DW160" s="2"/>
      <c r="DY160" s="2"/>
      <c r="EA160" s="2"/>
      <c r="EC160" s="2"/>
      <c r="EE160" s="2"/>
      <c r="EG160" s="2"/>
      <c r="EI160" s="2"/>
      <c r="EK160" s="2"/>
      <c r="EM160" s="2"/>
      <c r="EO160" s="2"/>
      <c r="EQ160" s="2"/>
      <c r="ES160" s="2"/>
      <c r="EU160" s="2"/>
      <c r="EW160" s="2"/>
      <c r="EY160" s="2"/>
      <c r="FA160" s="2"/>
      <c r="FE160" s="2"/>
      <c r="FG160" s="2"/>
      <c r="FK160" s="2"/>
      <c r="FM160" s="2"/>
      <c r="FO160" s="2"/>
      <c r="FQ160" s="2"/>
      <c r="FS160" s="2"/>
      <c r="FU160" s="2"/>
      <c r="FW160" s="2"/>
      <c r="FY160" s="2"/>
      <c r="GA160" s="2"/>
      <c r="GC160" s="2"/>
      <c r="GE160" s="2"/>
      <c r="GG160" s="2"/>
      <c r="GI160" s="2"/>
      <c r="GK160" s="2"/>
      <c r="GM160" s="2"/>
      <c r="GO160" s="2"/>
      <c r="GQ160" s="2"/>
      <c r="GS160" s="2"/>
      <c r="GU160" s="2"/>
      <c r="GW160" s="2"/>
      <c r="GY160" s="2"/>
      <c r="HA160" s="2"/>
      <c r="HC160" s="2"/>
      <c r="HG160" s="2"/>
      <c r="HI160" s="2"/>
      <c r="HK160" s="2"/>
      <c r="HM160" s="2"/>
      <c r="HO160" s="2"/>
      <c r="HR160" s="2"/>
      <c r="HS160" s="2"/>
      <c r="HU160" s="2"/>
      <c r="HW160" s="2"/>
    </row>
    <row r="161" ht="12.75">
      <c r="K161" s="3"/>
    </row>
  </sheetData>
  <mergeCells count="388">
    <mergeCell ref="HL3:HQ3"/>
    <mergeCell ref="GZ3:HE3"/>
    <mergeCell ref="HR3:HY3"/>
    <mergeCell ref="EJ3:EQ3"/>
    <mergeCell ref="ER3:EY3"/>
    <mergeCell ref="EZ3:FC3"/>
    <mergeCell ref="FD3:FG3"/>
    <mergeCell ref="FJ3:FO3"/>
    <mergeCell ref="FP3:FW3"/>
    <mergeCell ref="FX3:GE3"/>
    <mergeCell ref="GR3:GY3"/>
    <mergeCell ref="HF3:HK3"/>
    <mergeCell ref="DH3:DK3"/>
    <mergeCell ref="DL3:DQ3"/>
    <mergeCell ref="GF3:GK3"/>
    <mergeCell ref="GL3:GQ3"/>
    <mergeCell ref="DT3:EA3"/>
    <mergeCell ref="EB3:EI3"/>
    <mergeCell ref="FH3:FI3"/>
    <mergeCell ref="AL4:AM7"/>
    <mergeCell ref="AN4:AO7"/>
    <mergeCell ref="CV3:DC3"/>
    <mergeCell ref="DD3:DG3"/>
    <mergeCell ref="AP4:AQ7"/>
    <mergeCell ref="AR4:AS7"/>
    <mergeCell ref="AT4:AU7"/>
    <mergeCell ref="AV4:AW7"/>
    <mergeCell ref="AX4:AY7"/>
    <mergeCell ref="AZ4:BA7"/>
    <mergeCell ref="HN4:HO7"/>
    <mergeCell ref="HP4:HQ7"/>
    <mergeCell ref="HP9:HP10"/>
    <mergeCell ref="HQ9:HQ10"/>
    <mergeCell ref="GD9:GD10"/>
    <mergeCell ref="GD4:GE7"/>
    <mergeCell ref="GF9:GF10"/>
    <mergeCell ref="GF4:GG7"/>
    <mergeCell ref="GG9:GG10"/>
    <mergeCell ref="GE9:GE10"/>
    <mergeCell ref="FZ9:FZ10"/>
    <mergeCell ref="FZ4:GA7"/>
    <mergeCell ref="GB9:GB10"/>
    <mergeCell ref="GB4:GC7"/>
    <mergeCell ref="GA9:GA10"/>
    <mergeCell ref="GC9:GC10"/>
    <mergeCell ref="FP4:FQ7"/>
    <mergeCell ref="FR9:FR10"/>
    <mergeCell ref="FR4:FS7"/>
    <mergeCell ref="FX4:FY7"/>
    <mergeCell ref="FX9:FX10"/>
    <mergeCell ref="FU9:FU10"/>
    <mergeCell ref="ET4:EU7"/>
    <mergeCell ref="ER4:ES7"/>
    <mergeCell ref="FN9:FN10"/>
    <mergeCell ref="FJ4:FK7"/>
    <mergeCell ref="FL4:FM7"/>
    <mergeCell ref="FN4:FO7"/>
    <mergeCell ref="FB4:FC7"/>
    <mergeCell ref="EZ4:FA7"/>
    <mergeCell ref="EX4:EY7"/>
    <mergeCell ref="EV4:EW7"/>
    <mergeCell ref="EF4:EG7"/>
    <mergeCell ref="EH9:EH10"/>
    <mergeCell ref="EH4:EI7"/>
    <mergeCell ref="EJ9:EJ10"/>
    <mergeCell ref="EJ4:EK7"/>
    <mergeCell ref="EG9:EG10"/>
    <mergeCell ref="EI9:EI10"/>
    <mergeCell ref="EF9:EF10"/>
    <mergeCell ref="EB4:EC7"/>
    <mergeCell ref="EB9:EB10"/>
    <mergeCell ref="ED9:ED10"/>
    <mergeCell ref="ED4:EE7"/>
    <mergeCell ref="EE9:EE10"/>
    <mergeCell ref="EC9:EC10"/>
    <mergeCell ref="DV4:DW7"/>
    <mergeCell ref="DX4:DY7"/>
    <mergeCell ref="DZ4:EA7"/>
    <mergeCell ref="EA9:EA10"/>
    <mergeCell ref="DY9:DY10"/>
    <mergeCell ref="DW9:DW10"/>
    <mergeCell ref="HW9:HW10"/>
    <mergeCell ref="HR9:HR10"/>
    <mergeCell ref="HX4:HY7"/>
    <mergeCell ref="HX9:HX10"/>
    <mergeCell ref="HT9:HT10"/>
    <mergeCell ref="HT4:HU7"/>
    <mergeCell ref="HV9:HV10"/>
    <mergeCell ref="HV4:HW7"/>
    <mergeCell ref="HS9:HS10"/>
    <mergeCell ref="HU9:HU10"/>
    <mergeCell ref="GP9:GP10"/>
    <mergeCell ref="HM9:HM10"/>
    <mergeCell ref="GT9:GT10"/>
    <mergeCell ref="GY9:GY10"/>
    <mergeCell ref="GV9:GV10"/>
    <mergeCell ref="GX9:GX10"/>
    <mergeCell ref="HF9:HF10"/>
    <mergeCell ref="HJ9:HJ10"/>
    <mergeCell ref="HL9:HL10"/>
    <mergeCell ref="HH9:HH10"/>
    <mergeCell ref="GP4:GQ7"/>
    <mergeCell ref="CZ9:CZ10"/>
    <mergeCell ref="CZ4:DA7"/>
    <mergeCell ref="EL4:EM7"/>
    <mergeCell ref="EL9:EL10"/>
    <mergeCell ref="EN9:EN10"/>
    <mergeCell ref="EP9:EP10"/>
    <mergeCell ref="ER9:ER10"/>
    <mergeCell ref="ET9:ET10"/>
    <mergeCell ref="GL9:GL10"/>
    <mergeCell ref="T9:T10"/>
    <mergeCell ref="X9:X10"/>
    <mergeCell ref="W9:W10"/>
    <mergeCell ref="U9:U10"/>
    <mergeCell ref="Y9:Y10"/>
    <mergeCell ref="CP4:CQ7"/>
    <mergeCell ref="CP9:CP10"/>
    <mergeCell ref="CQ9:CQ10"/>
    <mergeCell ref="AR9:AR10"/>
    <mergeCell ref="AH4:AI7"/>
    <mergeCell ref="AB4:AC7"/>
    <mergeCell ref="AD4:AE7"/>
    <mergeCell ref="AF4:AG7"/>
    <mergeCell ref="AJ4:AK7"/>
    <mergeCell ref="HY9:HY10"/>
    <mergeCell ref="HA9:HA10"/>
    <mergeCell ref="AI9:AI10"/>
    <mergeCell ref="GO9:GO10"/>
    <mergeCell ref="CR9:CR10"/>
    <mergeCell ref="CX9:CX10"/>
    <mergeCell ref="CV9:CV10"/>
    <mergeCell ref="FY9:FY10"/>
    <mergeCell ref="CW9:CW10"/>
    <mergeCell ref="GW9:GW10"/>
    <mergeCell ref="GU9:GU10"/>
    <mergeCell ref="HB4:HC7"/>
    <mergeCell ref="HD4:HE7"/>
    <mergeCell ref="HE9:HE10"/>
    <mergeCell ref="HC9:HC10"/>
    <mergeCell ref="HD9:HD10"/>
    <mergeCell ref="GT4:GU7"/>
    <mergeCell ref="GV4:GW7"/>
    <mergeCell ref="GZ4:HA7"/>
    <mergeCell ref="GZ9:GZ10"/>
    <mergeCell ref="GJ4:GK7"/>
    <mergeCell ref="GN9:GN10"/>
    <mergeCell ref="GL4:GM7"/>
    <mergeCell ref="GN4:GO7"/>
    <mergeCell ref="EV9:EV10"/>
    <mergeCell ref="EP4:EQ7"/>
    <mergeCell ref="EN4:EO7"/>
    <mergeCell ref="DP4:DQ7"/>
    <mergeCell ref="DP9:DP10"/>
    <mergeCell ref="DR9:DR10"/>
    <mergeCell ref="DT9:DT10"/>
    <mergeCell ref="DR4:DS7"/>
    <mergeCell ref="DT4:DU7"/>
    <mergeCell ref="DU9:DU10"/>
    <mergeCell ref="GH4:GI7"/>
    <mergeCell ref="GH9:GH10"/>
    <mergeCell ref="GJ9:GJ10"/>
    <mergeCell ref="GR4:GS7"/>
    <mergeCell ref="GR9:GR10"/>
    <mergeCell ref="GK9:GK10"/>
    <mergeCell ref="GQ9:GQ10"/>
    <mergeCell ref="GI9:GI10"/>
    <mergeCell ref="GM9:GM10"/>
    <mergeCell ref="GS9:GS10"/>
    <mergeCell ref="FM9:FM10"/>
    <mergeCell ref="FI9:FI10"/>
    <mergeCell ref="EU9:EU10"/>
    <mergeCell ref="FK9:FK10"/>
    <mergeCell ref="FG9:FG10"/>
    <mergeCell ref="FF9:FF10"/>
    <mergeCell ref="FC9:FC10"/>
    <mergeCell ref="FD9:FD10"/>
    <mergeCell ref="EY9:EY10"/>
    <mergeCell ref="FA9:FA10"/>
    <mergeCell ref="FO9:FO10"/>
    <mergeCell ref="FQ9:FQ10"/>
    <mergeCell ref="FS9:FS10"/>
    <mergeCell ref="EM9:EM10"/>
    <mergeCell ref="EZ9:EZ10"/>
    <mergeCell ref="FB9:FB10"/>
    <mergeCell ref="FP9:FP10"/>
    <mergeCell ref="FE9:FE10"/>
    <mergeCell ref="EO9:EO10"/>
    <mergeCell ref="EQ9:EQ10"/>
    <mergeCell ref="HR4:HS7"/>
    <mergeCell ref="HK9:HK10"/>
    <mergeCell ref="HG9:HG10"/>
    <mergeCell ref="HI9:HI10"/>
    <mergeCell ref="HO9:HO10"/>
    <mergeCell ref="HF4:HG7"/>
    <mergeCell ref="HL4:HM7"/>
    <mergeCell ref="HJ4:HK7"/>
    <mergeCell ref="HH4:HI7"/>
    <mergeCell ref="HN9:HN10"/>
    <mergeCell ref="FF4:FG7"/>
    <mergeCell ref="EW9:EW10"/>
    <mergeCell ref="GX4:GY7"/>
    <mergeCell ref="HB9:HB10"/>
    <mergeCell ref="FD4:FE7"/>
    <mergeCell ref="FT9:FT10"/>
    <mergeCell ref="FT4:FU7"/>
    <mergeCell ref="FV9:FV10"/>
    <mergeCell ref="FV4:FW7"/>
    <mergeCell ref="FW9:FW10"/>
    <mergeCell ref="B4:C7"/>
    <mergeCell ref="D9:D10"/>
    <mergeCell ref="F9:F10"/>
    <mergeCell ref="EX9:EX10"/>
    <mergeCell ref="AQ9:AQ10"/>
    <mergeCell ref="AU9:AU10"/>
    <mergeCell ref="AS9:AS10"/>
    <mergeCell ref="BA9:BA10"/>
    <mergeCell ref="AT9:AT10"/>
    <mergeCell ref="DL9:DL10"/>
    <mergeCell ref="AY9:AY10"/>
    <mergeCell ref="BB9:BB10"/>
    <mergeCell ref="DN4:DO7"/>
    <mergeCell ref="BL9:BL10"/>
    <mergeCell ref="DN9:DN10"/>
    <mergeCell ref="BO9:BO10"/>
    <mergeCell ref="CO9:CO10"/>
    <mergeCell ref="CM9:CM10"/>
    <mergeCell ref="CN9:CN10"/>
    <mergeCell ref="CH9:CH10"/>
    <mergeCell ref="CL9:CL10"/>
    <mergeCell ref="CI9:CI10"/>
    <mergeCell ref="CK9:CK10"/>
    <mergeCell ref="CJ9:CJ10"/>
    <mergeCell ref="CY9:CY10"/>
    <mergeCell ref="DK9:DK10"/>
    <mergeCell ref="DI9:DI10"/>
    <mergeCell ref="DA9:DA10"/>
    <mergeCell ref="DG9:DG10"/>
    <mergeCell ref="DB9:DB10"/>
    <mergeCell ref="DF9:DF10"/>
    <mergeCell ref="DH9:DH10"/>
    <mergeCell ref="DJ9:DJ10"/>
    <mergeCell ref="DE9:DE10"/>
    <mergeCell ref="AP9:AP10"/>
    <mergeCell ref="AO9:AO10"/>
    <mergeCell ref="N9:N10"/>
    <mergeCell ref="BH3:BM3"/>
    <mergeCell ref="BM9:BM10"/>
    <mergeCell ref="AV9:AV10"/>
    <mergeCell ref="AX9:AX10"/>
    <mergeCell ref="AZ9:AZ10"/>
    <mergeCell ref="BC9:BC10"/>
    <mergeCell ref="AW9:AW10"/>
    <mergeCell ref="BN9:BN10"/>
    <mergeCell ref="BT9:BT10"/>
    <mergeCell ref="BK9:BK10"/>
    <mergeCell ref="BY9:BY10"/>
    <mergeCell ref="BS9:BS10"/>
    <mergeCell ref="BQ9:BQ10"/>
    <mergeCell ref="BP9:BP10"/>
    <mergeCell ref="CX4:CY7"/>
    <mergeCell ref="CV4:CW7"/>
    <mergeCell ref="BD9:BD10"/>
    <mergeCell ref="BJ9:BJ10"/>
    <mergeCell ref="BH9:BH10"/>
    <mergeCell ref="CD9:CD10"/>
    <mergeCell ref="BX9:BX10"/>
    <mergeCell ref="BZ9:BZ10"/>
    <mergeCell ref="BG9:BG10"/>
    <mergeCell ref="BU9:BU10"/>
    <mergeCell ref="CL4:CM7"/>
    <mergeCell ref="CN4:CO7"/>
    <mergeCell ref="CH4:CI7"/>
    <mergeCell ref="CJ4:CK7"/>
    <mergeCell ref="DH4:DI7"/>
    <mergeCell ref="DJ4:DK7"/>
    <mergeCell ref="DF4:DG7"/>
    <mergeCell ref="DR3:DS3"/>
    <mergeCell ref="DL4:DM7"/>
    <mergeCell ref="DO9:DO10"/>
    <mergeCell ref="DM9:DM10"/>
    <mergeCell ref="EK9:EK10"/>
    <mergeCell ref="ES9:ES10"/>
    <mergeCell ref="DS9:DS10"/>
    <mergeCell ref="DV9:DV10"/>
    <mergeCell ref="DX9:DX10"/>
    <mergeCell ref="DZ9:DZ10"/>
    <mergeCell ref="DQ9:DQ10"/>
    <mergeCell ref="FH9:FH10"/>
    <mergeCell ref="FH4:FI7"/>
    <mergeCell ref="FJ9:FJ10"/>
    <mergeCell ref="FL9:FL10"/>
    <mergeCell ref="P9:P10"/>
    <mergeCell ref="V9:V10"/>
    <mergeCell ref="J9:J10"/>
    <mergeCell ref="L9:L10"/>
    <mergeCell ref="R9:R10"/>
    <mergeCell ref="K9:K10"/>
    <mergeCell ref="Q9:Q10"/>
    <mergeCell ref="M9:M10"/>
    <mergeCell ref="O9:O10"/>
    <mergeCell ref="S9:S10"/>
    <mergeCell ref="Z9:Z10"/>
    <mergeCell ref="AH9:AH10"/>
    <mergeCell ref="AB9:AB10"/>
    <mergeCell ref="AD9:AD10"/>
    <mergeCell ref="AF9:AF10"/>
    <mergeCell ref="AC9:AC10"/>
    <mergeCell ref="AA9:AA10"/>
    <mergeCell ref="AE9:AE10"/>
    <mergeCell ref="AG9:AG10"/>
    <mergeCell ref="F4:G7"/>
    <mergeCell ref="H4:I7"/>
    <mergeCell ref="E9:E10"/>
    <mergeCell ref="J4:K7"/>
    <mergeCell ref="D4:E7"/>
    <mergeCell ref="H9:H10"/>
    <mergeCell ref="I9:I10"/>
    <mergeCell ref="G9:G10"/>
    <mergeCell ref="L4:M7"/>
    <mergeCell ref="N4:O7"/>
    <mergeCell ref="P4:Q7"/>
    <mergeCell ref="R4:S7"/>
    <mergeCell ref="T4:U7"/>
    <mergeCell ref="V4:W7"/>
    <mergeCell ref="X4:Y7"/>
    <mergeCell ref="Z4:AA7"/>
    <mergeCell ref="AN9:AN10"/>
    <mergeCell ref="AL9:AL10"/>
    <mergeCell ref="AJ9:AJ10"/>
    <mergeCell ref="AM9:AM10"/>
    <mergeCell ref="AK9:AK10"/>
    <mergeCell ref="BH4:BI7"/>
    <mergeCell ref="BE9:BE10"/>
    <mergeCell ref="BI9:BI10"/>
    <mergeCell ref="BF9:BF10"/>
    <mergeCell ref="BR4:BS7"/>
    <mergeCell ref="BP4:BQ7"/>
    <mergeCell ref="BR9:BR10"/>
    <mergeCell ref="BV4:BW7"/>
    <mergeCell ref="BT4:BU7"/>
    <mergeCell ref="BW9:BW10"/>
    <mergeCell ref="BV9:BV10"/>
    <mergeCell ref="CF9:CF10"/>
    <mergeCell ref="CF4:CG7"/>
    <mergeCell ref="CD4:CE7"/>
    <mergeCell ref="CB4:CC7"/>
    <mergeCell ref="CG9:CG10"/>
    <mergeCell ref="CC9:CC10"/>
    <mergeCell ref="BZ4:CA7"/>
    <mergeCell ref="BX4:BY7"/>
    <mergeCell ref="CE9:CE10"/>
    <mergeCell ref="CB9:CB10"/>
    <mergeCell ref="CA9:CA10"/>
    <mergeCell ref="DD9:DD10"/>
    <mergeCell ref="DD4:DE7"/>
    <mergeCell ref="DC9:DC10"/>
    <mergeCell ref="BJ4:BK7"/>
    <mergeCell ref="BL4:BM7"/>
    <mergeCell ref="CR4:CS7"/>
    <mergeCell ref="CT9:CT10"/>
    <mergeCell ref="CT4:CU7"/>
    <mergeCell ref="CU9:CU10"/>
    <mergeCell ref="CS9:CS10"/>
    <mergeCell ref="DB4:DC7"/>
    <mergeCell ref="BB3:BC3"/>
    <mergeCell ref="BB4:BC7"/>
    <mergeCell ref="J3:O3"/>
    <mergeCell ref="P3:U3"/>
    <mergeCell ref="V3:AA3"/>
    <mergeCell ref="BN4:BO7"/>
    <mergeCell ref="BD4:BE7"/>
    <mergeCell ref="BF4:BG7"/>
    <mergeCell ref="CP3:CU3"/>
    <mergeCell ref="AJ3:AQ3"/>
    <mergeCell ref="AR3:AY3"/>
    <mergeCell ref="BD3:BG3"/>
    <mergeCell ref="B1:I1"/>
    <mergeCell ref="A2:Q2"/>
    <mergeCell ref="AB3:AI3"/>
    <mergeCell ref="B3:I3"/>
    <mergeCell ref="A3:A10"/>
    <mergeCell ref="C9:C10"/>
    <mergeCell ref="B9:B10"/>
    <mergeCell ref="BN3:BS3"/>
    <mergeCell ref="BT3:CA3"/>
    <mergeCell ref="CB3:CG3"/>
    <mergeCell ref="CH3:CO3"/>
  </mergeCells>
  <printOptions/>
  <pageMargins left="0.7874015748031497" right="0.1968503937007874" top="0.3937007874015748" bottom="0.3937007874015748" header="0.1968503937007874" footer="0.15748031496062992"/>
  <pageSetup horizontalDpi="600" verticalDpi="600" orientation="portrait" paperSize="9" scale="90" r:id="rId3"/>
  <headerFooter alignWithMargins="0">
    <oddFooter>&amp;L&amp;8&amp;Z&amp;F&amp;R&amp;P</oddFooter>
  </headerFooter>
  <legacyDrawing r:id="rId2"/>
</worksheet>
</file>

<file path=xl/worksheets/sheet2.xml><?xml version="1.0" encoding="utf-8"?>
<worksheet xmlns="http://schemas.openxmlformats.org/spreadsheetml/2006/main" xmlns:r="http://schemas.openxmlformats.org/officeDocument/2006/relationships">
  <dimension ref="A1:AO163"/>
  <sheetViews>
    <sheetView view="pageBreakPreview" zoomScaleSheetLayoutView="100" workbookViewId="0" topLeftCell="S131">
      <selection activeCell="AP163" sqref="AP163"/>
    </sheetView>
  </sheetViews>
  <sheetFormatPr defaultColWidth="9.00390625" defaultRowHeight="12.75"/>
  <cols>
    <col min="1" max="1" width="24.125" style="0" customWidth="1"/>
    <col min="2" max="2" width="9.00390625" style="0" customWidth="1"/>
    <col min="3" max="3" width="10.00390625" style="0" customWidth="1"/>
    <col min="4" max="4" width="11.875" style="19" customWidth="1"/>
    <col min="5" max="5" width="12.375" style="0" customWidth="1"/>
    <col min="6" max="6" width="8.625" style="19" customWidth="1"/>
    <col min="7" max="7" width="9.625" style="0" customWidth="1"/>
    <col min="8" max="8" width="9.00390625" style="19" customWidth="1"/>
    <col min="9" max="9" width="9.00390625" style="0" customWidth="1"/>
    <col min="10" max="10" width="8.125" style="19" customWidth="1"/>
    <col min="11" max="11" width="10.125" style="0" customWidth="1"/>
    <col min="12" max="12" width="8.25390625" style="19" customWidth="1"/>
    <col min="13" max="13" width="10.25390625" style="0" customWidth="1"/>
    <col min="14" max="14" width="10.125" style="19" customWidth="1"/>
    <col min="15" max="15" width="12.125" style="0" customWidth="1"/>
    <col min="16" max="16" width="8.875" style="19" customWidth="1"/>
    <col min="17" max="17" width="11.375" style="0" customWidth="1"/>
    <col min="18" max="18" width="8.875" style="19" customWidth="1"/>
    <col min="19" max="19" width="9.875" style="0" customWidth="1"/>
    <col min="20" max="20" width="7.625" style="19" customWidth="1"/>
    <col min="21" max="21" width="7.875" style="0" customWidth="1"/>
    <col min="22" max="22" width="8.125" style="19" customWidth="1"/>
    <col min="23" max="23" width="8.625" style="0" customWidth="1"/>
    <col min="24" max="24" width="11.875" style="19" customWidth="1"/>
    <col min="25" max="25" width="10.375" style="0" customWidth="1"/>
    <col min="26" max="26" width="9.00390625" style="19" customWidth="1"/>
    <col min="27" max="27" width="9.625" style="0" customWidth="1"/>
    <col min="28" max="28" width="7.625" style="19" customWidth="1"/>
    <col min="29" max="29" width="9.00390625" style="0" customWidth="1"/>
    <col min="30" max="30" width="8.25390625" style="19" customWidth="1"/>
    <col min="31" max="31" width="11.875" style="0" customWidth="1"/>
    <col min="32" max="32" width="13.00390625" style="19" customWidth="1"/>
    <col min="33" max="33" width="11.125" style="0" customWidth="1"/>
    <col min="34" max="34" width="10.375" style="0" customWidth="1"/>
    <col min="35" max="35" width="9.625" style="0" customWidth="1"/>
    <col min="36" max="36" width="10.125" style="0" customWidth="1"/>
    <col min="37" max="38" width="9.875" style="0" customWidth="1"/>
    <col min="39" max="39" width="9.375" style="0" customWidth="1"/>
    <col min="40" max="40" width="8.375" style="0" customWidth="1"/>
    <col min="41" max="41" width="9.25390625" style="0" customWidth="1"/>
  </cols>
  <sheetData>
    <row r="1" spans="1:2" ht="67.5" customHeight="1">
      <c r="A1" s="9"/>
      <c r="B1" s="9"/>
    </row>
    <row r="2" spans="1:34" ht="37.5" customHeight="1" thickBot="1">
      <c r="A2" s="18"/>
      <c r="B2" s="18"/>
      <c r="C2" s="1"/>
      <c r="D2" s="21"/>
      <c r="E2" s="1"/>
      <c r="F2" s="21"/>
      <c r="G2" s="1"/>
      <c r="H2" s="21"/>
      <c r="I2" s="1"/>
      <c r="J2" s="21"/>
      <c r="K2" s="1"/>
      <c r="L2" s="21"/>
      <c r="M2" s="1"/>
      <c r="N2" s="21"/>
      <c r="O2" s="1"/>
      <c r="P2" s="21"/>
      <c r="Q2" s="1"/>
      <c r="R2" s="21"/>
      <c r="S2" s="1"/>
      <c r="T2" s="21"/>
      <c r="U2" s="1"/>
      <c r="V2" s="21"/>
      <c r="W2" s="1"/>
      <c r="X2" s="21"/>
      <c r="Y2" s="1"/>
      <c r="Z2" s="21"/>
      <c r="AA2" s="1"/>
      <c r="AB2" s="21"/>
      <c r="AC2" s="1"/>
      <c r="AD2" s="21"/>
      <c r="AE2" s="1"/>
      <c r="AF2" s="21"/>
      <c r="AG2" s="1"/>
      <c r="AH2" s="1"/>
    </row>
    <row r="3" spans="1:41" s="4" customFormat="1" ht="51" customHeight="1">
      <c r="A3" s="297" t="s">
        <v>294</v>
      </c>
      <c r="B3" s="292" t="s">
        <v>313</v>
      </c>
      <c r="C3" s="307"/>
      <c r="D3" s="307"/>
      <c r="E3" s="307"/>
      <c r="F3" s="320"/>
      <c r="G3" s="320"/>
      <c r="H3" s="320"/>
      <c r="I3" s="320"/>
      <c r="J3" s="321" t="s">
        <v>313</v>
      </c>
      <c r="K3" s="165"/>
      <c r="L3" s="165"/>
      <c r="M3" s="165"/>
      <c r="N3" s="165"/>
      <c r="O3" s="165"/>
      <c r="P3" s="165"/>
      <c r="Q3" s="165"/>
      <c r="R3" s="140"/>
      <c r="S3" s="141"/>
      <c r="T3" s="288" t="s">
        <v>199</v>
      </c>
      <c r="U3" s="165"/>
      <c r="V3" s="165"/>
      <c r="W3" s="165"/>
      <c r="X3" s="165"/>
      <c r="Y3" s="289"/>
      <c r="Z3" s="288" t="s">
        <v>203</v>
      </c>
      <c r="AA3" s="165"/>
      <c r="AB3" s="165"/>
      <c r="AC3" s="165"/>
      <c r="AD3" s="165"/>
      <c r="AE3" s="289"/>
      <c r="AF3" s="295" t="s">
        <v>56</v>
      </c>
      <c r="AG3" s="296"/>
      <c r="AH3" s="306" t="s">
        <v>314</v>
      </c>
      <c r="AI3" s="307"/>
      <c r="AJ3" s="307"/>
      <c r="AK3" s="307"/>
      <c r="AL3" s="307"/>
      <c r="AM3" s="307"/>
      <c r="AN3" s="307"/>
      <c r="AO3" s="308"/>
    </row>
    <row r="4" spans="1:41" ht="12.75" customHeight="1">
      <c r="A4" s="243"/>
      <c r="B4" s="298" t="s">
        <v>184</v>
      </c>
      <c r="C4" s="299"/>
      <c r="D4" s="199" t="s">
        <v>186</v>
      </c>
      <c r="E4" s="184"/>
      <c r="F4" s="200" t="s">
        <v>189</v>
      </c>
      <c r="G4" s="184"/>
      <c r="H4" s="199" t="s">
        <v>191</v>
      </c>
      <c r="I4" s="184"/>
      <c r="J4" s="211" t="s">
        <v>193</v>
      </c>
      <c r="K4" s="184"/>
      <c r="L4" s="211" t="s">
        <v>195</v>
      </c>
      <c r="M4" s="184"/>
      <c r="N4" s="199" t="s">
        <v>24</v>
      </c>
      <c r="O4" s="184"/>
      <c r="P4" s="199" t="s">
        <v>29</v>
      </c>
      <c r="Q4" s="184"/>
      <c r="R4" s="183" t="s">
        <v>51</v>
      </c>
      <c r="S4" s="314"/>
      <c r="T4" s="200" t="s">
        <v>198</v>
      </c>
      <c r="U4" s="201"/>
      <c r="V4" s="200" t="s">
        <v>202</v>
      </c>
      <c r="W4" s="201"/>
      <c r="X4" s="183" t="s">
        <v>52</v>
      </c>
      <c r="Y4" s="271"/>
      <c r="Z4" s="200" t="s">
        <v>205</v>
      </c>
      <c r="AA4" s="184"/>
      <c r="AB4" s="200" t="s">
        <v>205</v>
      </c>
      <c r="AC4" s="201"/>
      <c r="AD4" s="183" t="s">
        <v>53</v>
      </c>
      <c r="AE4" s="271"/>
      <c r="AF4" s="230"/>
      <c r="AG4" s="231"/>
      <c r="AH4" s="300" t="s">
        <v>306</v>
      </c>
      <c r="AI4" s="301"/>
      <c r="AJ4" s="300" t="s">
        <v>307</v>
      </c>
      <c r="AK4" s="301"/>
      <c r="AL4" s="300" t="s">
        <v>308</v>
      </c>
      <c r="AM4" s="301"/>
      <c r="AN4" s="300" t="s">
        <v>309</v>
      </c>
      <c r="AO4" s="309"/>
    </row>
    <row r="5" spans="1:41" ht="12.75" customHeight="1">
      <c r="A5" s="243"/>
      <c r="B5" s="299"/>
      <c r="C5" s="299"/>
      <c r="D5" s="185"/>
      <c r="E5" s="186"/>
      <c r="F5" s="185"/>
      <c r="G5" s="186"/>
      <c r="H5" s="185"/>
      <c r="I5" s="186"/>
      <c r="J5" s="185"/>
      <c r="K5" s="186"/>
      <c r="L5" s="185"/>
      <c r="M5" s="186"/>
      <c r="N5" s="185"/>
      <c r="O5" s="186"/>
      <c r="P5" s="185"/>
      <c r="Q5" s="186"/>
      <c r="R5" s="315"/>
      <c r="S5" s="316"/>
      <c r="T5" s="202"/>
      <c r="U5" s="203"/>
      <c r="V5" s="202"/>
      <c r="W5" s="203"/>
      <c r="X5" s="272"/>
      <c r="Y5" s="273"/>
      <c r="Z5" s="185"/>
      <c r="AA5" s="186"/>
      <c r="AB5" s="202"/>
      <c r="AC5" s="203"/>
      <c r="AD5" s="272"/>
      <c r="AE5" s="273"/>
      <c r="AF5" s="230"/>
      <c r="AG5" s="231"/>
      <c r="AH5" s="302"/>
      <c r="AI5" s="303"/>
      <c r="AJ5" s="302"/>
      <c r="AK5" s="303"/>
      <c r="AL5" s="302"/>
      <c r="AM5" s="303"/>
      <c r="AN5" s="302"/>
      <c r="AO5" s="310"/>
    </row>
    <row r="6" spans="1:41" ht="12.75">
      <c r="A6" s="243"/>
      <c r="B6" s="299"/>
      <c r="C6" s="299"/>
      <c r="D6" s="185"/>
      <c r="E6" s="186"/>
      <c r="F6" s="185"/>
      <c r="G6" s="186"/>
      <c r="H6" s="185"/>
      <c r="I6" s="186"/>
      <c r="J6" s="185"/>
      <c r="K6" s="186"/>
      <c r="L6" s="185"/>
      <c r="M6" s="186"/>
      <c r="N6" s="185"/>
      <c r="O6" s="186"/>
      <c r="P6" s="185"/>
      <c r="Q6" s="186"/>
      <c r="R6" s="315"/>
      <c r="S6" s="316"/>
      <c r="T6" s="202"/>
      <c r="U6" s="203"/>
      <c r="V6" s="202"/>
      <c r="W6" s="203"/>
      <c r="X6" s="272"/>
      <c r="Y6" s="273"/>
      <c r="Z6" s="185"/>
      <c r="AA6" s="186"/>
      <c r="AB6" s="202"/>
      <c r="AC6" s="203"/>
      <c r="AD6" s="272"/>
      <c r="AE6" s="273"/>
      <c r="AF6" s="230"/>
      <c r="AG6" s="231"/>
      <c r="AH6" s="302"/>
      <c r="AI6" s="303"/>
      <c r="AJ6" s="302"/>
      <c r="AK6" s="303"/>
      <c r="AL6" s="302"/>
      <c r="AM6" s="303"/>
      <c r="AN6" s="302"/>
      <c r="AO6" s="310"/>
    </row>
    <row r="7" spans="1:41" ht="190.5" customHeight="1">
      <c r="A7" s="243"/>
      <c r="B7" s="299"/>
      <c r="C7" s="299"/>
      <c r="D7" s="187"/>
      <c r="E7" s="188"/>
      <c r="F7" s="187"/>
      <c r="G7" s="188"/>
      <c r="H7" s="187"/>
      <c r="I7" s="188"/>
      <c r="J7" s="187"/>
      <c r="K7" s="188"/>
      <c r="L7" s="187"/>
      <c r="M7" s="188"/>
      <c r="N7" s="187"/>
      <c r="O7" s="188"/>
      <c r="P7" s="187"/>
      <c r="Q7" s="188"/>
      <c r="R7" s="317"/>
      <c r="S7" s="318"/>
      <c r="T7" s="204"/>
      <c r="U7" s="205"/>
      <c r="V7" s="204"/>
      <c r="W7" s="205"/>
      <c r="X7" s="274"/>
      <c r="Y7" s="275"/>
      <c r="Z7" s="187"/>
      <c r="AA7" s="188"/>
      <c r="AB7" s="204"/>
      <c r="AC7" s="205"/>
      <c r="AD7" s="274"/>
      <c r="AE7" s="275"/>
      <c r="AF7" s="232"/>
      <c r="AG7" s="233"/>
      <c r="AH7" s="304"/>
      <c r="AI7" s="305"/>
      <c r="AJ7" s="304"/>
      <c r="AK7" s="305"/>
      <c r="AL7" s="304"/>
      <c r="AM7" s="305"/>
      <c r="AN7" s="304"/>
      <c r="AO7" s="311"/>
    </row>
    <row r="8" spans="1:41" ht="13.5" customHeight="1" hidden="1">
      <c r="A8" s="243"/>
      <c r="B8" s="90"/>
      <c r="C8" s="75" t="s">
        <v>183</v>
      </c>
      <c r="D8" s="74"/>
      <c r="E8" s="70" t="s">
        <v>185</v>
      </c>
      <c r="F8" s="71"/>
      <c r="G8" s="70" t="s">
        <v>187</v>
      </c>
      <c r="H8" s="74"/>
      <c r="I8" s="75" t="s">
        <v>190</v>
      </c>
      <c r="J8" s="74"/>
      <c r="K8" s="75" t="s">
        <v>192</v>
      </c>
      <c r="L8" s="74"/>
      <c r="M8" s="72" t="s">
        <v>194</v>
      </c>
      <c r="N8" s="82"/>
      <c r="O8" s="91" t="s">
        <v>196</v>
      </c>
      <c r="P8" s="82"/>
      <c r="Q8" s="91" t="s">
        <v>30</v>
      </c>
      <c r="R8" s="92"/>
      <c r="S8" s="89"/>
      <c r="T8" s="93"/>
      <c r="U8" s="72" t="s">
        <v>197</v>
      </c>
      <c r="V8" s="82"/>
      <c r="W8" s="72" t="s">
        <v>201</v>
      </c>
      <c r="X8" s="92"/>
      <c r="Y8" s="89"/>
      <c r="Z8" s="93"/>
      <c r="AA8" s="91" t="s">
        <v>204</v>
      </c>
      <c r="AB8" s="82"/>
      <c r="AC8" s="82" t="s">
        <v>206</v>
      </c>
      <c r="AD8" s="92"/>
      <c r="AE8" s="89"/>
      <c r="AF8" s="93"/>
      <c r="AG8" s="89"/>
      <c r="AH8" s="89"/>
      <c r="AI8" s="89"/>
      <c r="AJ8" s="89"/>
      <c r="AK8" s="89"/>
      <c r="AL8" s="89"/>
      <c r="AM8" s="89"/>
      <c r="AN8" s="94"/>
      <c r="AO8" s="95"/>
    </row>
    <row r="9" spans="1:41" s="5" customFormat="1" ht="10.5" customHeight="1">
      <c r="A9" s="243"/>
      <c r="B9" s="207" t="s">
        <v>188</v>
      </c>
      <c r="C9" s="210" t="s">
        <v>295</v>
      </c>
      <c r="D9" s="207" t="s">
        <v>188</v>
      </c>
      <c r="E9" s="210" t="s">
        <v>295</v>
      </c>
      <c r="F9" s="207" t="s">
        <v>188</v>
      </c>
      <c r="G9" s="210" t="s">
        <v>295</v>
      </c>
      <c r="H9" s="207" t="s">
        <v>188</v>
      </c>
      <c r="I9" s="234" t="s">
        <v>295</v>
      </c>
      <c r="J9" s="207" t="s">
        <v>188</v>
      </c>
      <c r="K9" s="210" t="s">
        <v>295</v>
      </c>
      <c r="L9" s="207" t="s">
        <v>188</v>
      </c>
      <c r="M9" s="210" t="s">
        <v>295</v>
      </c>
      <c r="N9" s="207" t="s">
        <v>188</v>
      </c>
      <c r="O9" s="210" t="s">
        <v>295</v>
      </c>
      <c r="P9" s="207" t="s">
        <v>188</v>
      </c>
      <c r="Q9" s="210" t="s">
        <v>295</v>
      </c>
      <c r="R9" s="207" t="s">
        <v>188</v>
      </c>
      <c r="S9" s="210" t="s">
        <v>295</v>
      </c>
      <c r="T9" s="207" t="s">
        <v>188</v>
      </c>
      <c r="U9" s="312" t="s">
        <v>295</v>
      </c>
      <c r="V9" s="207" t="s">
        <v>188</v>
      </c>
      <c r="W9" s="312" t="s">
        <v>295</v>
      </c>
      <c r="X9" s="207" t="s">
        <v>188</v>
      </c>
      <c r="Y9" s="312" t="s">
        <v>295</v>
      </c>
      <c r="Z9" s="207" t="s">
        <v>188</v>
      </c>
      <c r="AA9" s="312" t="s">
        <v>295</v>
      </c>
      <c r="AB9" s="207" t="s">
        <v>188</v>
      </c>
      <c r="AC9" s="234" t="s">
        <v>295</v>
      </c>
      <c r="AD9" s="207" t="s">
        <v>188</v>
      </c>
      <c r="AE9" s="234" t="s">
        <v>295</v>
      </c>
      <c r="AF9" s="207" t="s">
        <v>188</v>
      </c>
      <c r="AG9" s="210" t="s">
        <v>295</v>
      </c>
      <c r="AH9" s="207" t="s">
        <v>188</v>
      </c>
      <c r="AI9" s="210" t="s">
        <v>295</v>
      </c>
      <c r="AJ9" s="207" t="s">
        <v>188</v>
      </c>
      <c r="AK9" s="210" t="s">
        <v>295</v>
      </c>
      <c r="AL9" s="207" t="s">
        <v>188</v>
      </c>
      <c r="AM9" s="210" t="s">
        <v>295</v>
      </c>
      <c r="AN9" s="207" t="s">
        <v>188</v>
      </c>
      <c r="AO9" s="210" t="s">
        <v>295</v>
      </c>
    </row>
    <row r="10" spans="1:41" s="5" customFormat="1" ht="9" customHeight="1">
      <c r="A10" s="244"/>
      <c r="B10" s="208"/>
      <c r="C10" s="212"/>
      <c r="D10" s="208"/>
      <c r="E10" s="212"/>
      <c r="F10" s="208"/>
      <c r="G10" s="212"/>
      <c r="H10" s="208"/>
      <c r="I10" s="212"/>
      <c r="J10" s="208"/>
      <c r="K10" s="212"/>
      <c r="L10" s="208"/>
      <c r="M10" s="212"/>
      <c r="N10" s="208"/>
      <c r="O10" s="212"/>
      <c r="P10" s="208"/>
      <c r="Q10" s="212"/>
      <c r="R10" s="208"/>
      <c r="S10" s="212"/>
      <c r="T10" s="208"/>
      <c r="U10" s="313"/>
      <c r="V10" s="208"/>
      <c r="W10" s="313"/>
      <c r="X10" s="208"/>
      <c r="Y10" s="313"/>
      <c r="Z10" s="208"/>
      <c r="AA10" s="313"/>
      <c r="AB10" s="208"/>
      <c r="AC10" s="212"/>
      <c r="AD10" s="208"/>
      <c r="AE10" s="212"/>
      <c r="AF10" s="208"/>
      <c r="AG10" s="212"/>
      <c r="AH10" s="208"/>
      <c r="AI10" s="212"/>
      <c r="AJ10" s="208"/>
      <c r="AK10" s="212"/>
      <c r="AL10" s="208"/>
      <c r="AM10" s="212"/>
      <c r="AN10" s="208"/>
      <c r="AO10" s="212"/>
    </row>
    <row r="11" spans="1:41" ht="12.75">
      <c r="A11" s="96">
        <v>1</v>
      </c>
      <c r="B11" s="97">
        <v>234</v>
      </c>
      <c r="C11" s="97">
        <f>B11+1</f>
        <v>235</v>
      </c>
      <c r="D11" s="97">
        <f>C11+1</f>
        <v>236</v>
      </c>
      <c r="E11" s="97">
        <f aca="true" t="shared" si="0" ref="E11:AO11">D11+1</f>
        <v>237</v>
      </c>
      <c r="F11" s="97">
        <f t="shared" si="0"/>
        <v>238</v>
      </c>
      <c r="G11" s="97">
        <f t="shared" si="0"/>
        <v>239</v>
      </c>
      <c r="H11" s="97">
        <f t="shared" si="0"/>
        <v>240</v>
      </c>
      <c r="I11" s="97">
        <f t="shared" si="0"/>
        <v>241</v>
      </c>
      <c r="J11" s="97">
        <f t="shared" si="0"/>
        <v>242</v>
      </c>
      <c r="K11" s="97">
        <f t="shared" si="0"/>
        <v>243</v>
      </c>
      <c r="L11" s="97">
        <f t="shared" si="0"/>
        <v>244</v>
      </c>
      <c r="M11" s="97">
        <f t="shared" si="0"/>
        <v>245</v>
      </c>
      <c r="N11" s="97">
        <f t="shared" si="0"/>
        <v>246</v>
      </c>
      <c r="O11" s="97">
        <f t="shared" si="0"/>
        <v>247</v>
      </c>
      <c r="P11" s="97">
        <f t="shared" si="0"/>
        <v>248</v>
      </c>
      <c r="Q11" s="97">
        <f t="shared" si="0"/>
        <v>249</v>
      </c>
      <c r="R11" s="97">
        <f t="shared" si="0"/>
        <v>250</v>
      </c>
      <c r="S11" s="97">
        <f t="shared" si="0"/>
        <v>251</v>
      </c>
      <c r="T11" s="97">
        <f t="shared" si="0"/>
        <v>252</v>
      </c>
      <c r="U11" s="97">
        <f t="shared" si="0"/>
        <v>253</v>
      </c>
      <c r="V11" s="97">
        <f t="shared" si="0"/>
        <v>254</v>
      </c>
      <c r="W11" s="97">
        <f t="shared" si="0"/>
        <v>255</v>
      </c>
      <c r="X11" s="97">
        <f t="shared" si="0"/>
        <v>256</v>
      </c>
      <c r="Y11" s="97">
        <f t="shared" si="0"/>
        <v>257</v>
      </c>
      <c r="Z11" s="97">
        <f t="shared" si="0"/>
        <v>258</v>
      </c>
      <c r="AA11" s="97">
        <f t="shared" si="0"/>
        <v>259</v>
      </c>
      <c r="AB11" s="97">
        <f t="shared" si="0"/>
        <v>260</v>
      </c>
      <c r="AC11" s="97">
        <f t="shared" si="0"/>
        <v>261</v>
      </c>
      <c r="AD11" s="97">
        <f t="shared" si="0"/>
        <v>262</v>
      </c>
      <c r="AE11" s="97">
        <f t="shared" si="0"/>
        <v>263</v>
      </c>
      <c r="AF11" s="97">
        <f t="shared" si="0"/>
        <v>264</v>
      </c>
      <c r="AG11" s="97">
        <f t="shared" si="0"/>
        <v>265</v>
      </c>
      <c r="AH11" s="97">
        <f t="shared" si="0"/>
        <v>266</v>
      </c>
      <c r="AI11" s="97">
        <f t="shared" si="0"/>
        <v>267</v>
      </c>
      <c r="AJ11" s="97">
        <f t="shared" si="0"/>
        <v>268</v>
      </c>
      <c r="AK11" s="97">
        <f t="shared" si="0"/>
        <v>269</v>
      </c>
      <c r="AL11" s="97">
        <f t="shared" si="0"/>
        <v>270</v>
      </c>
      <c r="AM11" s="97">
        <f t="shared" si="0"/>
        <v>271</v>
      </c>
      <c r="AN11" s="97">
        <f t="shared" si="0"/>
        <v>272</v>
      </c>
      <c r="AO11" s="97">
        <f t="shared" si="0"/>
        <v>273</v>
      </c>
    </row>
    <row r="12" spans="1:41" ht="12.75" customHeight="1">
      <c r="A12" s="98" t="s">
        <v>155</v>
      </c>
      <c r="B12" s="26"/>
      <c r="C12" s="99"/>
      <c r="D12" s="100"/>
      <c r="E12" s="99"/>
      <c r="F12" s="100"/>
      <c r="G12" s="99"/>
      <c r="H12" s="101"/>
      <c r="I12" s="102"/>
      <c r="J12" s="101"/>
      <c r="K12" s="99"/>
      <c r="L12" s="100"/>
      <c r="M12" s="99"/>
      <c r="N12" s="100"/>
      <c r="O12" s="99"/>
      <c r="P12" s="100"/>
      <c r="Q12" s="99"/>
      <c r="R12" s="100"/>
      <c r="S12" s="99"/>
      <c r="T12" s="100"/>
      <c r="U12" s="99"/>
      <c r="V12" s="100"/>
      <c r="W12" s="99"/>
      <c r="X12" s="100"/>
      <c r="Y12" s="99"/>
      <c r="Z12" s="100"/>
      <c r="AA12" s="99"/>
      <c r="AB12" s="100"/>
      <c r="AC12" s="99"/>
      <c r="AD12" s="100"/>
      <c r="AE12" s="99"/>
      <c r="AF12" s="100"/>
      <c r="AG12" s="35"/>
      <c r="AH12" s="35"/>
      <c r="AI12" s="35"/>
      <c r="AJ12" s="35"/>
      <c r="AK12" s="35"/>
      <c r="AL12" s="35"/>
      <c r="AM12" s="145"/>
      <c r="AN12" s="146"/>
      <c r="AO12" s="147"/>
    </row>
    <row r="13" spans="1:41" ht="12.75">
      <c r="A13" s="103" t="s">
        <v>153</v>
      </c>
      <c r="B13" s="104">
        <v>37393</v>
      </c>
      <c r="C13" s="42">
        <v>32689.05806</v>
      </c>
      <c r="D13" s="44"/>
      <c r="E13" s="44"/>
      <c r="F13" s="43">
        <v>58569.4</v>
      </c>
      <c r="G13" s="42">
        <v>58569.4</v>
      </c>
      <c r="H13" s="46">
        <v>300000</v>
      </c>
      <c r="I13" s="46">
        <v>300000</v>
      </c>
      <c r="J13" s="104"/>
      <c r="K13" s="42"/>
      <c r="L13" s="44"/>
      <c r="M13" s="44"/>
      <c r="N13" s="42">
        <v>181100</v>
      </c>
      <c r="O13" s="42">
        <v>181100</v>
      </c>
      <c r="P13" s="42">
        <v>25740</v>
      </c>
      <c r="Q13" s="42">
        <v>25740</v>
      </c>
      <c r="R13" s="42">
        <f>B13+D13+F13+J13+H13+L13+N13+P13</f>
        <v>602802.4</v>
      </c>
      <c r="S13" s="42">
        <f>C13+E13+G13+K13+I13+M13+O13+Q13</f>
        <v>598098.45806</v>
      </c>
      <c r="T13" s="42"/>
      <c r="U13" s="42"/>
      <c r="V13" s="40"/>
      <c r="W13" s="40"/>
      <c r="X13" s="42">
        <f>T13+V13</f>
        <v>0</v>
      </c>
      <c r="Y13" s="42">
        <f>U13+W13</f>
        <v>0</v>
      </c>
      <c r="Z13" s="42">
        <v>831.2</v>
      </c>
      <c r="AA13" s="42">
        <v>831.2</v>
      </c>
      <c r="AB13" s="40">
        <v>2231.2</v>
      </c>
      <c r="AC13" s="40">
        <v>2231.2</v>
      </c>
      <c r="AD13" s="42">
        <f>Z13+AB13</f>
        <v>3062.3999999999996</v>
      </c>
      <c r="AE13" s="42">
        <f>AA13+AC13</f>
        <v>3062.3999999999996</v>
      </c>
      <c r="AF13" s="42">
        <f>'Свод '!AH13+'Свод '!AZ13+'Свод '!BB13+'Свод '!CF13+'Свод '!DF13+'Свод '!DJ13+'Свод '!DP13+'Свод '!FB13+'Свод '!FH13+'Свод '!HD13+'Свод '!HP13+'Свод '!HX13+Лист1!R13+Лист1!AD13+X13</f>
        <v>2904811.2357199998</v>
      </c>
      <c r="AG13" s="42">
        <f>'Свод '!AI13+'Свод '!BA13+'Свод '!BC13+'Свод '!CG13+'Свод '!DG13+'Свод '!DK13+'Свод '!DQ13+'Свод '!FC13+'Свод '!FI13+'Свод '!HE13+'Свод '!HQ13+'Свод '!HY13+Лист1!S13+Лист1!AE13+Y13</f>
        <v>2864614.7753199995</v>
      </c>
      <c r="AH13" s="42">
        <f>'Свод '!B13+'Свод '!D13+'Свод '!F13+'Свод '!H13</f>
        <v>58779.99999999999</v>
      </c>
      <c r="AI13" s="42">
        <f>'Свод '!C13+'Свод '!E13+'Свод '!G13+'Свод '!I13</f>
        <v>58779.99999999999</v>
      </c>
      <c r="AJ13" s="39">
        <f>'Свод '!AB13+'Свод '!AD13+'Свод '!AL13+'Свод '!AN13+'Свод '!AP13+'Свод '!BD13+'Свод '!BF13+'Свод '!BH13+'Свод '!BJ13+'Свод '!BL13+'Свод '!BN13+'Свод '!BP13+'Свод '!BR13+'Свод '!BT13+'Свод '!BV13+'Свод '!BX13+'Свод '!BZ13+'Свод '!CH13+'Свод '!CJ13+'Свод '!CL13+'Свод '!CN13+'Свод '!CP13+'Свод '!CR13+'Свод '!CT13+'Свод '!CV13+'Свод '!CX13+'Свод '!CZ13+'Свод '!DB13+'Свод '!DH13+'Свод '!DN13+'Свод '!DR13+'Свод '!DT13+'Свод '!DV13+'Свод '!DX13+'Свод '!DZ13+'Свод '!EB13+'Свод '!ED13+'Свод '!EF13+'Свод '!EH13+'Свод '!EJ13+'Свод '!EL13+'Свод '!FJ13+'Свод '!FL13+'Свод '!FN13+'Свод '!FP13+'Свод '!FR13+'Свод '!FT13+'Свод '!FV13+'Свод '!FX13+'Свод '!FZ13+'Свод '!GB13+'Свод '!GD13+'Свод '!GF13+'Свод '!GH13+'Свод '!HF13+'Свод '!HH13+'Свод '!HJ13+'Свод '!HL13+'Свод '!HN13+'Свод '!HR13+Лист1!B13+Лист1!D13+Лист1!F13+Лист1!H13+Лист1!J13+Лист1!L13+Лист1!N13+Лист1!P13+'Свод '!DL13</f>
        <v>1064286.8845799998</v>
      </c>
      <c r="AK13" s="39">
        <f>'Свод '!AC13+'Свод '!AE13+'Свод '!AM13+'Свод '!AO13+'Свод '!AQ13+'Свод '!BE13+'Свод '!BG13+'Свод '!BI13+'Свод '!BK13+'Свод '!BM13+'Свод '!BO13+'Свод '!BQ13+'Свод '!BS13+'Свод '!BU13+'Свод '!BW13+'Свод '!BY13+'Свод '!CA13+'Свод '!CI13+'Свод '!CK13+'Свод '!CM13+'Свод '!CO13+'Свод '!CQ13+'Свод '!CS13+'Свод '!CU13+'Свод '!CW13+'Свод '!CY13+'Свод '!DA13+'Свод '!DC13+'Свод '!DI13+'Свод '!DO13+'Свод '!DS13+'Свод '!DU13+'Свод '!DW13+'Свод '!DY13+'Свод '!EA13+'Свод '!EC13+'Свод '!EE13+'Свод '!EG13+'Свод '!EI13+'Свод '!EK13+'Свод '!EM13+'Свод '!FK13+'Свод '!FM13+'Свод '!FO13+'Свод '!FQ13+'Свод '!FS13+'Свод '!FU13+'Свод '!FW13+'Свод '!FY13+'Свод '!GA13+'Свод '!GC13+'Свод '!GE13+'Свод '!GG13+'Свод '!GI13+'Свод '!HG13+'Свод '!HI13+'Свод '!HK13+'Свод '!HM13+'Свод '!HO13+'Свод '!HS13+Лист1!C13+Лист1!E13+Лист1!G13+Лист1!I13+Лист1!K13+Лист1!M13+Лист1!O13+Лист1!Q13+'Свод '!DM13</f>
        <v>1024738.73764</v>
      </c>
      <c r="AL13" s="144">
        <f>'Свод '!AF13+'Свод '!AJ13+'Свод '!BB13+'Свод '!CB13+'Свод '!CD13+'Свод '!EN13+'Свод '!FD13+'Свод '!FF13+'Свод '!GJ13+'Свод '!GL13+'Свод '!GN13+'Свод '!GP13+'Свод '!GR13+'Свод '!GT13+'Свод '!GV13+'Свод '!GX13+'Свод '!HT13+'Свод '!HV13</f>
        <v>1753394.48</v>
      </c>
      <c r="AM13" s="42">
        <f>'Свод '!AG13+'Свод '!AK13+'Свод '!BC13+'Свод '!CC13+'Свод '!CE13+'Свод '!EO13+'Свод '!FE13+'Свод '!FG13+'Свод '!GK13+'Свод '!GM13+'Свод '!GO13+'Свод '!GQ13+'Свод '!GS13+'Свод '!GU13+'Свод '!GW13+'Свод '!GY13+'Свод '!HU13+'Свод '!HW13</f>
        <v>1752785.48</v>
      </c>
      <c r="AN13" s="42">
        <f>'Свод '!J13+'Свод '!L13+'Свод '!N13+'Свод '!P13+'Свод '!R13+'Свод '!T13+'Свод '!V13+'Свод '!X13+'Свод '!Z13+'Свод '!AR13+'Свод '!AT13+'Свод '!AV13+'Свод '!AX13+'Свод '!DD13+'Свод '!EP13+'Свод '!ER13+'Свод '!ET13+'Свод '!EV13+'Свод '!EX13+'Свод '!EZ13+'Свод '!GZ13+'Свод '!HB13+T13+V13+Z13+AB13</f>
        <v>28349.871140000003</v>
      </c>
      <c r="AO13" s="42">
        <f>'Свод '!K13+'Свод '!M13+'Свод '!O13+'Свод '!Q13+'Свод '!S13+'Свод '!U13+'Свод '!W13+'Свод '!Y13+'Свод '!AA13+'Свод '!AS13+'Свод '!AU13+'Свод '!AW13+'Свод '!AY13+'Свод '!DE13+'Свод '!EQ13+'Свод '!ES13+'Свод '!EU13+'Свод '!EW13+'Свод '!EY13+'Свод '!FA13+'Свод '!HA13+'Свод '!HC13+U13+W13+AA13+AC13</f>
        <v>28310.55768</v>
      </c>
    </row>
    <row r="14" spans="1:41" ht="12.75" customHeight="1">
      <c r="A14" s="103" t="s">
        <v>152</v>
      </c>
      <c r="B14" s="104">
        <v>23568</v>
      </c>
      <c r="C14" s="42">
        <v>23568</v>
      </c>
      <c r="D14" s="44"/>
      <c r="E14" s="44"/>
      <c r="F14" s="43">
        <v>4595</v>
      </c>
      <c r="G14" s="42">
        <v>4520.03441</v>
      </c>
      <c r="H14" s="44"/>
      <c r="I14" s="44"/>
      <c r="J14" s="105"/>
      <c r="K14" s="42"/>
      <c r="L14" s="44"/>
      <c r="M14" s="44"/>
      <c r="N14" s="42"/>
      <c r="O14" s="42"/>
      <c r="P14" s="42"/>
      <c r="Q14" s="42"/>
      <c r="R14" s="42">
        <f aca="true" t="shared" si="1" ref="R14:R78">B14+D14+F14+J14+H14+L14+N14+P14</f>
        <v>28163</v>
      </c>
      <c r="S14" s="42">
        <f aca="true" t="shared" si="2" ref="S14:S78">C14+E14+G14+K14+I14+M14+O14+Q14</f>
        <v>28088.03441</v>
      </c>
      <c r="T14" s="42"/>
      <c r="U14" s="42"/>
      <c r="V14" s="40"/>
      <c r="W14" s="40"/>
      <c r="X14" s="42">
        <f aca="true" t="shared" si="3" ref="X14:X78">T14+V14</f>
        <v>0</v>
      </c>
      <c r="Y14" s="42">
        <f aca="true" t="shared" si="4" ref="Y14:Y78">U14+W14</f>
        <v>0</v>
      </c>
      <c r="Z14" s="42"/>
      <c r="AA14" s="42"/>
      <c r="AB14" s="40"/>
      <c r="AC14" s="40"/>
      <c r="AD14" s="42">
        <f aca="true" t="shared" si="5" ref="AD14:AD78">Z14+AB14</f>
        <v>0</v>
      </c>
      <c r="AE14" s="42">
        <f aca="true" t="shared" si="6" ref="AE14:AE78">AA14+AC14</f>
        <v>0</v>
      </c>
      <c r="AF14" s="42">
        <f>'Свод '!AH14+'Свод '!AZ14+'Свод '!BB14+'Свод '!CF14+'Свод '!DF14+'Свод '!DJ14+'Свод '!DP14+'Свод '!FB14+'Свод '!FH14+'Свод '!HD14+'Свод '!HP14+'Свод '!HX14+Лист1!R14+Лист1!AD14+X14</f>
        <v>700379.09976</v>
      </c>
      <c r="AG14" s="42">
        <f>'Свод '!AI14+'Свод '!BA14+'Свод '!BC14+'Свод '!CG14+'Свод '!DG14+'Свод '!DK14+'Свод '!DQ14+'Свод '!FC14+'Свод '!FI14+'Свод '!HE14+'Свод '!HQ14+'Свод '!HY14+Лист1!S14+Лист1!AE14+Y14</f>
        <v>696441.41736</v>
      </c>
      <c r="AH14" s="42">
        <f>'Свод '!B14+'Свод '!D14+'Свод '!F14+'Свод '!H14</f>
        <v>221047.00000000003</v>
      </c>
      <c r="AI14" s="42">
        <f>'Свод '!C14+'Свод '!E14+'Свод '!G14+'Свод '!I14</f>
        <v>221047.00000000003</v>
      </c>
      <c r="AJ14" s="39">
        <f>'Свод '!AB14+'Свод '!AD14+'Свод '!AL14+'Свод '!AN14+'Свод '!AP14+'Свод '!BD14+'Свод '!BF14+'Свод '!BH14+'Свод '!BJ14+'Свод '!BL14+'Свод '!BN14+'Свод '!BP14+'Свод '!BR14+'Свод '!BT14+'Свод '!BV14+'Свод '!BX14+'Свод '!BZ14+'Свод '!CH14+'Свод '!CJ14+'Свод '!CL14+'Свод '!CN14+'Свод '!CP14+'Свод '!CR14+'Свод '!CT14+'Свод '!CV14+'Свод '!CX14+'Свод '!CZ14+'Свод '!DB14+'Свод '!DH14+'Свод '!DN14+'Свод '!DR14+'Свод '!DT14+'Свод '!DV14+'Свод '!DX14+'Свод '!DZ14+'Свод '!EB14+'Свод '!ED14+'Свод '!EF14+'Свод '!EH14+'Свод '!EJ14+'Свод '!EL14+'Свод '!FJ14+'Свод '!FL14+'Свод '!FN14+'Свод '!FP14+'Свод '!FR14+'Свод '!FT14+'Свод '!FV14+'Свод '!FX14+'Свод '!FZ14+'Свод '!GB14+'Свод '!GD14+'Свод '!GF14+'Свод '!GH14+'Свод '!HF14+'Свод '!HH14+'Свод '!HJ14+'Свод '!HL14+'Свод '!HN14+'Свод '!HR14+Лист1!B14+Лист1!D14+Лист1!F14+Лист1!H14+Лист1!J14+Лист1!L14+Лист1!N14+Лист1!P14+'Свод '!DL14</f>
        <v>116077.79273</v>
      </c>
      <c r="AK14" s="39">
        <f>'Свод '!AC14+'Свод '!AE14+'Свод '!AM14+'Свод '!AO14+'Свод '!AQ14+'Свод '!BE14+'Свод '!BG14+'Свод '!BI14+'Свод '!BK14+'Свод '!BM14+'Свод '!BO14+'Свод '!BQ14+'Свод '!BS14+'Свод '!BU14+'Свод '!BW14+'Свод '!BY14+'Свод '!CA14+'Свод '!CI14+'Свод '!CK14+'Свод '!CM14+'Свод '!CO14+'Свод '!CQ14+'Свод '!CS14+'Свод '!CU14+'Свод '!CW14+'Свод '!CY14+'Свод '!DA14+'Свод '!DC14+'Свод '!DI14+'Свод '!DO14+'Свод '!DS14+'Свод '!DU14+'Свод '!DW14+'Свод '!DY14+'Свод '!EA14+'Свод '!EC14+'Свод '!EE14+'Свод '!EG14+'Свод '!EI14+'Свод '!EK14+'Свод '!EM14+'Свод '!FK14+'Свод '!FM14+'Свод '!FO14+'Свод '!FQ14+'Свод '!FS14+'Свод '!FU14+'Свод '!FW14+'Свод '!FY14+'Свод '!GA14+'Свод '!GC14+'Свод '!GE14+'Свод '!GG14+'Свод '!GI14+'Свод '!HG14+'Свод '!HI14+'Свод '!HK14+'Свод '!HM14+'Свод '!HO14+'Свод '!HS14+Лист1!C14+Лист1!E14+Лист1!G14+Лист1!I14+Лист1!K14+Лист1!M14+Лист1!O14+Лист1!Q14+'Свод '!DM14</f>
        <v>112141.8241</v>
      </c>
      <c r="AL14" s="144">
        <f>'Свод '!AF14+'Свод '!AJ14+'Свод '!BB14+'Свод '!CB14+'Свод '!CD14+'Свод '!EN14+'Свод '!FD14+'Свод '!FF14+'Свод '!GJ14+'Свод '!GL14+'Свод '!GN14+'Свод '!GP14+'Свод '!GR14+'Свод '!GT14+'Свод '!GV14+'Свод '!GX14+'Свод '!HT14+'Свод '!HV14</f>
        <v>350224.334</v>
      </c>
      <c r="AM14" s="42">
        <f>'Свод '!AG14+'Свод '!AK14+'Свод '!BC14+'Свод '!CC14+'Свод '!CE14+'Свод '!EO14+'Свод '!FE14+'Свод '!FG14+'Свод '!GK14+'Свод '!GM14+'Свод '!GO14+'Свод '!GQ14+'Свод '!GS14+'Свод '!GU14+'Свод '!GW14+'Свод '!GY14+'Свод '!HU14+'Свод '!HW14</f>
        <v>350224.334</v>
      </c>
      <c r="AN14" s="42">
        <f>'Свод '!J14+'Свод '!L14+'Свод '!N14+'Свод '!P14+'Свод '!R14+'Свод '!T14+'Свод '!V14+'Свод '!X14+'Свод '!Z14+'Свод '!AR14+'Свод '!AT14+'Свод '!AV14+'Свод '!AX14+'Свод '!DD14+'Свод '!EP14+'Свод '!ER14+'Свод '!ET14+'Свод '!EV14+'Свод '!EX14+'Свод '!EZ14+'Свод '!GZ14+'Свод '!HB14+T14+V14+Z14+AB14</f>
        <v>13029.97303</v>
      </c>
      <c r="AO14" s="42">
        <f>'Свод '!K14+'Свод '!M14+'Свод '!O14+'Свод '!Q14+'Свод '!S14+'Свод '!U14+'Свод '!W14+'Свод '!Y14+'Свод '!AA14+'Свод '!AS14+'Свод '!AU14+'Свод '!AW14+'Свод '!AY14+'Свод '!DE14+'Свод '!EQ14+'Свод '!ES14+'Свод '!EU14+'Свод '!EW14+'Свод '!EY14+'Свод '!FA14+'Свод '!HA14+'Свод '!HC14+U14+W14+AA14+AC14</f>
        <v>13028.25926</v>
      </c>
    </row>
    <row r="15" spans="1:41" ht="12.75">
      <c r="A15" s="103" t="s">
        <v>151</v>
      </c>
      <c r="B15" s="104">
        <v>26668</v>
      </c>
      <c r="C15" s="42">
        <v>26554.74415</v>
      </c>
      <c r="D15" s="44"/>
      <c r="E15" s="44"/>
      <c r="F15" s="43">
        <v>14196.1</v>
      </c>
      <c r="G15" s="42">
        <v>14196.1</v>
      </c>
      <c r="H15" s="44"/>
      <c r="I15" s="44"/>
      <c r="J15" s="104">
        <v>15386</v>
      </c>
      <c r="K15" s="42">
        <v>15386</v>
      </c>
      <c r="L15" s="44"/>
      <c r="M15" s="44"/>
      <c r="N15" s="42"/>
      <c r="O15" s="42"/>
      <c r="P15" s="42"/>
      <c r="Q15" s="42"/>
      <c r="R15" s="42">
        <f t="shared" si="1"/>
        <v>56250.1</v>
      </c>
      <c r="S15" s="42">
        <f t="shared" si="2"/>
        <v>56136.84415</v>
      </c>
      <c r="T15" s="42">
        <v>921.5</v>
      </c>
      <c r="U15" s="42">
        <v>921.5</v>
      </c>
      <c r="V15" s="40">
        <v>48.5</v>
      </c>
      <c r="W15" s="40">
        <v>48.5</v>
      </c>
      <c r="X15" s="42">
        <f t="shared" si="3"/>
        <v>970</v>
      </c>
      <c r="Y15" s="42">
        <f t="shared" si="4"/>
        <v>970</v>
      </c>
      <c r="Z15" s="42">
        <v>1744</v>
      </c>
      <c r="AA15" s="42">
        <v>1744</v>
      </c>
      <c r="AB15" s="40"/>
      <c r="AC15" s="40"/>
      <c r="AD15" s="42">
        <f t="shared" si="5"/>
        <v>1744</v>
      </c>
      <c r="AE15" s="42">
        <f t="shared" si="6"/>
        <v>1744</v>
      </c>
      <c r="AF15" s="42">
        <f>'Свод '!AH15+'Свод '!AZ15+'Свод '!BB15+'Свод '!CF15+'Свод '!DF15+'Свод '!DJ15+'Свод '!DP15+'Свод '!FB15+'Свод '!FH15+'Свод '!HD15+'Свод '!HP15+'Свод '!HX15+Лист1!R15+Лист1!AD15+X15</f>
        <v>1175470.6992300001</v>
      </c>
      <c r="AG15" s="42">
        <f>'Свод '!AI15+'Свод '!BA15+'Свод '!BC15+'Свод '!CG15+'Свод '!DG15+'Свод '!DK15+'Свод '!DQ15+'Свод '!FC15+'Свод '!FI15+'Свод '!HE15+'Свод '!HQ15+'Свод '!HY15+Лист1!S15+Лист1!AE15+Y15</f>
        <v>1174164.7664700001</v>
      </c>
      <c r="AH15" s="42">
        <f>'Свод '!B15+'Свод '!D15+'Свод '!F15+'Свод '!H15</f>
        <v>51147</v>
      </c>
      <c r="AI15" s="42">
        <f>'Свод '!C15+'Свод '!E15+'Свод '!G15+'Свод '!I15</f>
        <v>51147</v>
      </c>
      <c r="AJ15" s="39">
        <f>'Свод '!AB15+'Свод '!AD15+'Свод '!AL15+'Свод '!AN15+'Свод '!AP15+'Свод '!BD15+'Свод '!BF15+'Свод '!BH15+'Свод '!BJ15+'Свод '!BL15+'Свод '!BN15+'Свод '!BP15+'Свод '!BR15+'Свод '!BT15+'Свод '!BV15+'Свод '!BX15+'Свод '!BZ15+'Свод '!CH15+'Свод '!CJ15+'Свод '!CL15+'Свод '!CN15+'Свод '!CP15+'Свод '!CR15+'Свод '!CT15+'Свод '!CV15+'Свод '!CX15+'Свод '!CZ15+'Свод '!DB15+'Свод '!DH15+'Свод '!DN15+'Свод '!DR15+'Свод '!DT15+'Свод '!DV15+'Свод '!DX15+'Свод '!DZ15+'Свод '!EB15+'Свод '!ED15+'Свод '!EF15+'Свод '!EH15+'Свод '!EJ15+'Свод '!EL15+'Свод '!FJ15+'Свод '!FL15+'Свод '!FN15+'Свод '!FP15+'Свод '!FR15+'Свод '!FT15+'Свод '!FV15+'Свод '!FX15+'Свод '!FZ15+'Свод '!GB15+'Свод '!GD15+'Свод '!GF15+'Свод '!GH15+'Свод '!HF15+'Свод '!HH15+'Свод '!HJ15+'Свод '!HL15+'Свод '!HN15+'Свод '!HR15+Лист1!B15+Лист1!D15+Лист1!F15+Лист1!H15+Лист1!J15+Лист1!L15+Лист1!N15+Лист1!P15+'Свод '!DL15</f>
        <v>283905.009</v>
      </c>
      <c r="AK15" s="39">
        <f>'Свод '!AC15+'Свод '!AE15+'Свод '!AM15+'Свод '!AO15+'Свод '!AQ15+'Свод '!BE15+'Свод '!BG15+'Свод '!BI15+'Свод '!BK15+'Свод '!BM15+'Свод '!BO15+'Свод '!BQ15+'Свод '!BS15+'Свод '!BU15+'Свод '!BW15+'Свод '!BY15+'Свод '!CA15+'Свод '!CI15+'Свод '!CK15+'Свод '!CM15+'Свод '!CO15+'Свод '!CQ15+'Свод '!CS15+'Свод '!CU15+'Свод '!CW15+'Свод '!CY15+'Свод '!DA15+'Свод '!DC15+'Свод '!DI15+'Свод '!DO15+'Свод '!DS15+'Свод '!DU15+'Свод '!DW15+'Свод '!DY15+'Свод '!EA15+'Свод '!EC15+'Свод '!EE15+'Свод '!EG15+'Свод '!EI15+'Свод '!EK15+'Свод '!EM15+'Свод '!FK15+'Свод '!FM15+'Свод '!FO15+'Свод '!FQ15+'Свод '!FS15+'Свод '!FU15+'Свод '!FW15+'Свод '!FY15+'Свод '!GA15+'Свод '!GC15+'Свод '!GE15+'Свод '!GG15+'Свод '!GI15+'Свод '!HG15+'Свод '!HI15+'Свод '!HK15+'Свод '!HM15+'Свод '!HO15+'Свод '!HS15+Лист1!C15+Лист1!E15+Лист1!G15+Лист1!I15+Лист1!K15+Лист1!M15+Лист1!O15+Лист1!Q15+'Свод '!DM15</f>
        <v>283209.87915</v>
      </c>
      <c r="AL15" s="144">
        <f>'Свод '!AF15+'Свод '!AJ15+'Свод '!BB15+'Свод '!CB15+'Свод '!CD15+'Свод '!EN15+'Свод '!FD15+'Свод '!FF15+'Свод '!GJ15+'Свод '!GL15+'Свод '!GN15+'Свод '!GP15+'Свод '!GR15+'Свод '!GT15+'Свод '!GV15+'Свод '!GX15+'Свод '!HT15+'Свод '!HV15</f>
        <v>772943.0320000001</v>
      </c>
      <c r="AM15" s="42">
        <f>'Свод '!AG15+'Свод '!AK15+'Свод '!BC15+'Свод '!CC15+'Свод '!CE15+'Свод '!EO15+'Свод '!FE15+'Свод '!FG15+'Свод '!GK15+'Свод '!GM15+'Свод '!GO15+'Свод '!GQ15+'Свод '!GS15+'Свод '!GU15+'Свод '!GW15+'Свод '!GY15+'Свод '!HU15+'Свод '!HW15</f>
        <v>772379.0320000001</v>
      </c>
      <c r="AN15" s="42">
        <f>'Свод '!J15+'Свод '!L15+'Свод '!N15+'Свод '!P15+'Свод '!R15+'Свод '!T15+'Свод '!V15+'Свод '!X15+'Свод '!Z15+'Свод '!AR15+'Свод '!AT15+'Свод '!AV15+'Свод '!AX15+'Свод '!DD15+'Свод '!EP15+'Свод '!ER15+'Свод '!ET15+'Свод '!EV15+'Свод '!EX15+'Свод '!EZ15+'Свод '!GZ15+'Свод '!HB15+T15+V15+Z15+AB15</f>
        <v>67475.65823</v>
      </c>
      <c r="AO15" s="42">
        <f>'Свод '!K15+'Свод '!M15+'Свод '!O15+'Свод '!Q15+'Свод '!S15+'Свод '!U15+'Свод '!W15+'Свод '!Y15+'Свод '!AA15+'Свод '!AS15+'Свод '!AU15+'Свод '!AW15+'Свод '!AY15+'Свод '!DE15+'Свод '!EQ15+'Свод '!ES15+'Свод '!EU15+'Свод '!EW15+'Свод '!EY15+'Свод '!FA15+'Свод '!HA15+'Свод '!HC15+U15+W15+AA15+AC15</f>
        <v>67428.85532</v>
      </c>
    </row>
    <row r="16" spans="1:41" ht="12.75" customHeight="1">
      <c r="A16" s="103" t="s">
        <v>150</v>
      </c>
      <c r="B16" s="104"/>
      <c r="C16" s="42"/>
      <c r="D16" s="44"/>
      <c r="E16" s="44"/>
      <c r="F16" s="43">
        <v>4946</v>
      </c>
      <c r="G16" s="42">
        <v>4799.0599</v>
      </c>
      <c r="H16" s="44"/>
      <c r="I16" s="44"/>
      <c r="J16" s="105"/>
      <c r="K16" s="42"/>
      <c r="L16" s="44"/>
      <c r="M16" s="44"/>
      <c r="N16" s="42"/>
      <c r="O16" s="42"/>
      <c r="P16" s="42"/>
      <c r="Q16" s="42"/>
      <c r="R16" s="42">
        <f t="shared" si="1"/>
        <v>4946</v>
      </c>
      <c r="S16" s="42">
        <f t="shared" si="2"/>
        <v>4799.0599</v>
      </c>
      <c r="T16" s="42">
        <v>636.5</v>
      </c>
      <c r="U16" s="42">
        <v>636.5</v>
      </c>
      <c r="V16" s="40">
        <v>33.5</v>
      </c>
      <c r="W16" s="40">
        <v>33.5</v>
      </c>
      <c r="X16" s="42">
        <f t="shared" si="3"/>
        <v>670</v>
      </c>
      <c r="Y16" s="42">
        <f t="shared" si="4"/>
        <v>670</v>
      </c>
      <c r="Z16" s="42">
        <v>44</v>
      </c>
      <c r="AA16" s="42">
        <v>44</v>
      </c>
      <c r="AB16" s="40"/>
      <c r="AC16" s="40"/>
      <c r="AD16" s="42">
        <f t="shared" si="5"/>
        <v>44</v>
      </c>
      <c r="AE16" s="42">
        <f t="shared" si="6"/>
        <v>44</v>
      </c>
      <c r="AF16" s="42">
        <f>'Свод '!AH16+'Свод '!AZ16+'Свод '!BB16+'Свод '!CF16+'Свод '!DF16+'Свод '!DJ16+'Свод '!DP16+'Свод '!FB16+'Свод '!FH16+'Свод '!HD16+'Свод '!HP16+'Свод '!HX16+Лист1!R16+Лист1!AD16+X16</f>
        <v>1087196.75886</v>
      </c>
      <c r="AG16" s="42">
        <f>'Свод '!AI16+'Свод '!BA16+'Свод '!BC16+'Свод '!CG16+'Свод '!DG16+'Свод '!DK16+'Свод '!DQ16+'Свод '!FC16+'Свод '!FI16+'Свод '!HE16+'Свод '!HQ16+'Свод '!HY16+Лист1!S16+Лист1!AE16+Y16</f>
        <v>1085274.1914199998</v>
      </c>
      <c r="AH16" s="42">
        <f>'Свод '!B16+'Свод '!D16+'Свод '!F16+'Свод '!H16</f>
        <v>182887.99999999997</v>
      </c>
      <c r="AI16" s="42">
        <f>'Свод '!C16+'Свод '!E16+'Свод '!G16+'Свод '!I16</f>
        <v>182887.99999999997</v>
      </c>
      <c r="AJ16" s="39">
        <f>'Свод '!AB16+'Свод '!AD16+'Свод '!AL16+'Свод '!AN16+'Свод '!AP16+'Свод '!BD16+'Свод '!BF16+'Свод '!BH16+'Свод '!BJ16+'Свод '!BL16+'Свод '!BN16+'Свод '!BP16+'Свод '!BR16+'Свод '!BT16+'Свод '!BV16+'Свод '!BX16+'Свод '!BZ16+'Свод '!CH16+'Свод '!CJ16+'Свод '!CL16+'Свод '!CN16+'Свод '!CP16+'Свод '!CR16+'Свод '!CT16+'Свод '!CV16+'Свод '!CX16+'Свод '!CZ16+'Свод '!DB16+'Свод '!DH16+'Свод '!DN16+'Свод '!DR16+'Свод '!DT16+'Свод '!DV16+'Свод '!DX16+'Свод '!DZ16+'Свод '!EB16+'Свод '!ED16+'Свод '!EF16+'Свод '!EH16+'Свод '!EJ16+'Свод '!EL16+'Свод '!FJ16+'Свод '!FL16+'Свод '!FN16+'Свод '!FP16+'Свод '!FR16+'Свод '!FT16+'Свод '!FV16+'Свод '!FX16+'Свод '!FZ16+'Свод '!GB16+'Свод '!GD16+'Свод '!GF16+'Свод '!GH16+'Свод '!HF16+'Свод '!HH16+'Свод '!HJ16+'Свод '!HL16+'Свод '!HN16+'Свод '!HR16+Лист1!B16+Лист1!D16+Лист1!F16+Лист1!H16+Лист1!J16+Лист1!L16+Лист1!N16+Лист1!P16+'Свод '!DL16</f>
        <v>244514.20649999997</v>
      </c>
      <c r="AK16" s="39">
        <f>'Свод '!AC16+'Свод '!AE16+'Свод '!AM16+'Свод '!AO16+'Свод '!AQ16+'Свод '!BE16+'Свод '!BG16+'Свод '!BI16+'Свод '!BK16+'Свод '!BM16+'Свод '!BO16+'Свод '!BQ16+'Свод '!BS16+'Свод '!BU16+'Свод '!BW16+'Свод '!BY16+'Свод '!CA16+'Свод '!CI16+'Свод '!CK16+'Свод '!CM16+'Свод '!CO16+'Свод '!CQ16+'Свод '!CS16+'Свод '!CU16+'Свод '!CW16+'Свод '!CY16+'Свод '!DA16+'Свод '!DC16+'Свод '!DI16+'Свод '!DO16+'Свод '!DS16+'Свод '!DU16+'Свод '!DW16+'Свод '!DY16+'Свод '!EA16+'Свод '!EC16+'Свод '!EE16+'Свод '!EG16+'Свод '!EI16+'Свод '!EK16+'Свод '!EM16+'Свод '!FK16+'Свод '!FM16+'Свод '!FO16+'Свод '!FQ16+'Свод '!FS16+'Свод '!FU16+'Свод '!FW16+'Свод '!FY16+'Свод '!GA16+'Свод '!GC16+'Свод '!GE16+'Свод '!GG16+'Свод '!GI16+'Свод '!HG16+'Свод '!HI16+'Свод '!HK16+'Свод '!HM16+'Свод '!HO16+'Свод '!HS16+Лист1!C16+Лист1!E16+Лист1!G16+Лист1!I16+Лист1!K16+Лист1!M16+Лист1!O16+Лист1!Q16+'Свод '!DM16</f>
        <v>242594.47905999998</v>
      </c>
      <c r="AL16" s="144">
        <f>'Свод '!AF16+'Свод '!AJ16+'Свод '!BB16+'Свод '!CB16+'Свод '!CD16+'Свод '!EN16+'Свод '!FD16+'Свод '!FF16+'Свод '!GJ16+'Свод '!GL16+'Свод '!GN16+'Свод '!GP16+'Свод '!GR16+'Свод '!GT16+'Свод '!GV16+'Свод '!GX16+'Свод '!HT16+'Свод '!HV16</f>
        <v>601963.5700000001</v>
      </c>
      <c r="AM16" s="42">
        <f>'Свод '!AG16+'Свод '!AK16+'Свод '!BC16+'Свод '!CC16+'Свод '!CE16+'Свод '!EO16+'Свод '!FE16+'Свод '!FG16+'Свод '!GK16+'Свод '!GM16+'Свод '!GO16+'Свод '!GQ16+'Свод '!GS16+'Свод '!GU16+'Свод '!GW16+'Свод '!GY16+'Свод '!HU16+'Свод '!HW16</f>
        <v>601960.7300000001</v>
      </c>
      <c r="AN16" s="42">
        <f>'Свод '!J16+'Свод '!L16+'Свод '!N16+'Свод '!P16+'Свод '!R16+'Свод '!T16+'Свод '!V16+'Свод '!X16+'Свод '!Z16+'Свод '!AR16+'Свод '!AT16+'Свод '!AV16+'Свод '!AX16+'Свод '!DD16+'Свод '!EP16+'Свод '!ER16+'Свод '!ET16+'Свод '!EV16+'Свод '!EX16+'Свод '!EZ16+'Свод '!GZ16+'Свод '!HB16+T16+V16+Z16+AB16</f>
        <v>57830.98236</v>
      </c>
      <c r="AO16" s="42">
        <f>'Свод '!K16+'Свод '!M16+'Свод '!O16+'Свод '!Q16+'Свод '!S16+'Свод '!U16+'Свод '!W16+'Свод '!Y16+'Свод '!AA16+'Свод '!AS16+'Свод '!AU16+'Свод '!AW16+'Свод '!AY16+'Свод '!DE16+'Свод '!EQ16+'Свод '!ES16+'Свод '!EU16+'Свод '!EW16+'Свод '!EY16+'Свод '!FA16+'Свод '!HA16+'Свод '!HC16+U16+W16+AA16+AC16</f>
        <v>57830.98236</v>
      </c>
    </row>
    <row r="17" spans="1:41" ht="12.75">
      <c r="A17" s="103" t="s">
        <v>149</v>
      </c>
      <c r="B17" s="104"/>
      <c r="C17" s="42"/>
      <c r="D17" s="44"/>
      <c r="E17" s="44"/>
      <c r="F17" s="43">
        <v>60</v>
      </c>
      <c r="G17" s="42">
        <v>56.9924</v>
      </c>
      <c r="H17" s="44"/>
      <c r="I17" s="44"/>
      <c r="J17" s="105"/>
      <c r="K17" s="42"/>
      <c r="L17" s="44"/>
      <c r="M17" s="44"/>
      <c r="N17" s="42"/>
      <c r="O17" s="42"/>
      <c r="P17" s="42"/>
      <c r="Q17" s="42"/>
      <c r="R17" s="42">
        <f t="shared" si="1"/>
        <v>60</v>
      </c>
      <c r="S17" s="42">
        <f t="shared" si="2"/>
        <v>56.9924</v>
      </c>
      <c r="T17" s="42">
        <v>746</v>
      </c>
      <c r="U17" s="42">
        <v>746</v>
      </c>
      <c r="V17" s="40">
        <v>39</v>
      </c>
      <c r="W17" s="40">
        <v>39</v>
      </c>
      <c r="X17" s="42">
        <f t="shared" si="3"/>
        <v>785</v>
      </c>
      <c r="Y17" s="42">
        <f t="shared" si="4"/>
        <v>785</v>
      </c>
      <c r="Z17" s="42"/>
      <c r="AA17" s="42"/>
      <c r="AB17" s="40"/>
      <c r="AC17" s="40"/>
      <c r="AD17" s="42">
        <f t="shared" si="5"/>
        <v>0</v>
      </c>
      <c r="AE17" s="42">
        <f t="shared" si="6"/>
        <v>0</v>
      </c>
      <c r="AF17" s="42">
        <f>'Свод '!AH17+'Свод '!AZ17+'Свод '!BB17+'Свод '!CF17+'Свод '!DF17+'Свод '!DJ17+'Свод '!DP17+'Свод '!FB17+'Свод '!FH17+'Свод '!HD17+'Свод '!HP17+'Свод '!HX17+Лист1!R17+Лист1!AD17+X17</f>
        <v>553504.7215600001</v>
      </c>
      <c r="AG17" s="42">
        <f>'Свод '!AI17+'Свод '!BA17+'Свод '!BC17+'Свод '!CG17+'Свод '!DG17+'Свод '!DK17+'Свод '!DQ17+'Свод '!FC17+'Свод '!FI17+'Свод '!HE17+'Свод '!HQ17+'Свод '!HY17+Лист1!S17+Лист1!AE17+Y17</f>
        <v>551146.76141</v>
      </c>
      <c r="AH17" s="42">
        <f>'Свод '!B17+'Свод '!D17+'Свод '!F17+'Свод '!H17</f>
        <v>320413</v>
      </c>
      <c r="AI17" s="42">
        <f>'Свод '!C17+'Свод '!E17+'Свод '!G17+'Свод '!I17</f>
        <v>320413</v>
      </c>
      <c r="AJ17" s="39">
        <f>'Свод '!AB17+'Свод '!AD17+'Свод '!AL17+'Свод '!AN17+'Свод '!AP17+'Свод '!BD17+'Свод '!BF17+'Свод '!BH17+'Свод '!BJ17+'Свод '!BL17+'Свод '!BN17+'Свод '!BP17+'Свод '!BR17+'Свод '!BT17+'Свод '!BV17+'Свод '!BX17+'Свод '!BZ17+'Свод '!CH17+'Свод '!CJ17+'Свод '!CL17+'Свод '!CN17+'Свод '!CP17+'Свод '!CR17+'Свод '!CT17+'Свод '!CV17+'Свод '!CX17+'Свод '!CZ17+'Свод '!DB17+'Свод '!DH17+'Свод '!DN17+'Свод '!DR17+'Свод '!DT17+'Свод '!DV17+'Свод '!DX17+'Свод '!DZ17+'Свод '!EB17+'Свод '!ED17+'Свод '!EF17+'Свод '!EH17+'Свод '!EJ17+'Свод '!EL17+'Свод '!FJ17+'Свод '!FL17+'Свод '!FN17+'Свод '!FP17+'Свод '!FR17+'Свод '!FT17+'Свод '!FV17+'Свод '!FX17+'Свод '!FZ17+'Свод '!GB17+'Свод '!GD17+'Свод '!GF17+'Свод '!GH17+'Свод '!HF17+'Свод '!HH17+'Свод '!HJ17+'Свод '!HL17+'Свод '!HN17+'Свод '!HR17+Лист1!B17+Лист1!D17+Лист1!F17+Лист1!H17+Лист1!J17+Лист1!L17+Лист1!N17+Лист1!P17+'Свод '!DL17</f>
        <v>99989.26499999998</v>
      </c>
      <c r="AK17" s="39">
        <f>'Свод '!AC17+'Свод '!AE17+'Свод '!AM17+'Свод '!AO17+'Свод '!AQ17+'Свод '!BE17+'Свод '!BG17+'Свод '!BI17+'Свод '!BK17+'Свод '!BM17+'Свод '!BO17+'Свод '!BQ17+'Свод '!BS17+'Свод '!BU17+'Свод '!BW17+'Свод '!BY17+'Свод '!CA17+'Свод '!CI17+'Свод '!CK17+'Свод '!CM17+'Свод '!CO17+'Свод '!CQ17+'Свод '!CS17+'Свод '!CU17+'Свод '!CW17+'Свод '!CY17+'Свод '!DA17+'Свод '!DC17+'Свод '!DI17+'Свод '!DO17+'Свод '!DS17+'Свод '!DU17+'Свод '!DW17+'Свод '!DY17+'Свод '!EA17+'Свод '!EC17+'Свод '!EE17+'Свод '!EG17+'Свод '!EI17+'Свод '!EK17+'Свод '!EM17+'Свод '!FK17+'Свод '!FM17+'Свод '!FO17+'Свод '!FQ17+'Свод '!FS17+'Свод '!FU17+'Свод '!FW17+'Свод '!FY17+'Свод '!GA17+'Свод '!GC17+'Свод '!GE17+'Свод '!GG17+'Свод '!GI17+'Свод '!HG17+'Свод '!HI17+'Свод '!HK17+'Свод '!HM17+'Свод '!HO17+'Свод '!HS17+Лист1!C17+Лист1!E17+Лист1!G17+Лист1!I17+Лист1!K17+Лист1!M17+Лист1!O17+Лист1!Q17+'Свод '!DM17</f>
        <v>97633.25739999999</v>
      </c>
      <c r="AL17" s="144">
        <f>'Свод '!AF17+'Свод '!AJ17+'Свод '!BB17+'Свод '!CB17+'Свод '!CD17+'Свод '!EN17+'Свод '!FD17+'Свод '!FF17+'Свод '!GJ17+'Свод '!GL17+'Свод '!GN17+'Свод '!GP17+'Свод '!GR17+'Свод '!GT17+'Свод '!GV17+'Свод '!GX17+'Свод '!HT17+'Свод '!HV17</f>
        <v>129235.751</v>
      </c>
      <c r="AM17" s="42">
        <f>'Свод '!AG17+'Свод '!AK17+'Свод '!BC17+'Свод '!CC17+'Свод '!CE17+'Свод '!EO17+'Свод '!FE17+'Свод '!FG17+'Свод '!GK17+'Свод '!GM17+'Свод '!GO17+'Свод '!GQ17+'Свод '!GS17+'Свод '!GU17+'Свод '!GW17+'Свод '!GY17+'Свод '!HU17+'Свод '!HW17</f>
        <v>129235.751</v>
      </c>
      <c r="AN17" s="42">
        <f>'Свод '!J17+'Свод '!L17+'Свод '!N17+'Свод '!P17+'Свод '!R17+'Свод '!T17+'Свод '!V17+'Свод '!X17+'Свод '!Z17+'Свод '!AR17+'Свод '!AT17+'Свод '!AV17+'Свод '!AX17+'Свод '!DD17+'Свод '!EP17+'Свод '!ER17+'Свод '!ET17+'Свод '!EV17+'Свод '!EX17+'Свод '!EZ17+'Свод '!GZ17+'Свод '!HB17+T17+V17+Z17+AB17</f>
        <v>3866.7055600000003</v>
      </c>
      <c r="AO17" s="42">
        <f>'Свод '!K17+'Свод '!M17+'Свод '!O17+'Свод '!Q17+'Свод '!S17+'Свод '!U17+'Свод '!W17+'Свод '!Y17+'Свод '!AA17+'Свод '!AS17+'Свод '!AU17+'Свод '!AW17+'Свод '!AY17+'Свод '!DE17+'Свод '!EQ17+'Свод '!ES17+'Свод '!EU17+'Свод '!EW17+'Свод '!EY17+'Свод '!FA17+'Свод '!HA17+'Свод '!HC17+U17+W17+AA17+AC17</f>
        <v>3864.75301</v>
      </c>
    </row>
    <row r="18" spans="1:41" ht="27.75" customHeight="1">
      <c r="A18" s="106" t="s">
        <v>394</v>
      </c>
      <c r="B18" s="104"/>
      <c r="C18" s="42"/>
      <c r="D18" s="44"/>
      <c r="E18" s="44"/>
      <c r="F18" s="43"/>
      <c r="G18" s="42"/>
      <c r="H18" s="44"/>
      <c r="I18" s="44"/>
      <c r="J18" s="105"/>
      <c r="K18" s="42"/>
      <c r="L18" s="117"/>
      <c r="M18" s="117"/>
      <c r="N18" s="107"/>
      <c r="O18" s="107"/>
      <c r="P18" s="107"/>
      <c r="Q18" s="107"/>
      <c r="R18" s="42"/>
      <c r="S18" s="42"/>
      <c r="T18" s="42"/>
      <c r="U18" s="42"/>
      <c r="V18" s="40"/>
      <c r="W18" s="40"/>
      <c r="X18" s="42"/>
      <c r="Y18" s="42"/>
      <c r="Z18" s="42"/>
      <c r="AA18" s="42"/>
      <c r="AB18" s="40"/>
      <c r="AC18" s="40"/>
      <c r="AD18" s="42"/>
      <c r="AE18" s="42"/>
      <c r="AF18" s="42"/>
      <c r="AG18" s="42"/>
      <c r="AH18" s="42"/>
      <c r="AI18" s="42"/>
      <c r="AJ18" s="39"/>
      <c r="AK18" s="39"/>
      <c r="AL18" s="144"/>
      <c r="AM18" s="42"/>
      <c r="AN18" s="42"/>
      <c r="AO18" s="42"/>
    </row>
    <row r="19" spans="1:41" ht="12.75">
      <c r="A19" s="108" t="s">
        <v>148</v>
      </c>
      <c r="B19" s="104">
        <v>0</v>
      </c>
      <c r="C19" s="42">
        <v>0</v>
      </c>
      <c r="D19" s="40">
        <f>SUM(D20:D28)</f>
        <v>0</v>
      </c>
      <c r="E19" s="40">
        <f>SUM(E20:E28)</f>
        <v>0</v>
      </c>
      <c r="F19" s="43">
        <v>5018</v>
      </c>
      <c r="G19" s="46">
        <v>5012.16253</v>
      </c>
      <c r="H19" s="40">
        <f>SUM(H20:H28)</f>
        <v>0</v>
      </c>
      <c r="I19" s="40">
        <f>SUM(I20:I28)</f>
        <v>0</v>
      </c>
      <c r="J19" s="104">
        <v>0</v>
      </c>
      <c r="K19" s="42">
        <v>0</v>
      </c>
      <c r="L19" s="47">
        <v>13446</v>
      </c>
      <c r="M19" s="47">
        <v>13378.784</v>
      </c>
      <c r="N19" s="47">
        <f>SUM(N20:N28)</f>
        <v>0</v>
      </c>
      <c r="O19" s="47">
        <f>SUM(O20:O28)</f>
        <v>0</v>
      </c>
      <c r="P19" s="47">
        <f>SUM(P20:P28)</f>
        <v>0</v>
      </c>
      <c r="Q19" s="47">
        <f>SUM(Q20:Q28)</f>
        <v>0</v>
      </c>
      <c r="R19" s="42">
        <f t="shared" si="1"/>
        <v>18464</v>
      </c>
      <c r="S19" s="42">
        <f t="shared" si="2"/>
        <v>18390.94653</v>
      </c>
      <c r="T19" s="42">
        <v>0</v>
      </c>
      <c r="U19" s="42">
        <v>0</v>
      </c>
      <c r="V19" s="40">
        <v>0</v>
      </c>
      <c r="W19" s="40">
        <v>0</v>
      </c>
      <c r="X19" s="42">
        <f t="shared" si="3"/>
        <v>0</v>
      </c>
      <c r="Y19" s="42">
        <f t="shared" si="4"/>
        <v>0</v>
      </c>
      <c r="Z19" s="42">
        <v>2799.2</v>
      </c>
      <c r="AA19" s="42">
        <v>2799.2</v>
      </c>
      <c r="AB19" s="40">
        <v>0</v>
      </c>
      <c r="AC19" s="40">
        <v>0</v>
      </c>
      <c r="AD19" s="42">
        <f t="shared" si="5"/>
        <v>2799.2</v>
      </c>
      <c r="AE19" s="42">
        <f t="shared" si="6"/>
        <v>2799.2</v>
      </c>
      <c r="AF19" s="42">
        <f>'Свод '!AH19+'Свод '!AZ19+'Свод '!BB19+'Свод '!CF19+'Свод '!DF19+'Свод '!DJ19+'Свод '!DP19+'Свод '!FB19+'Свод '!FH19+'Свод '!HD19+'Свод '!HP19+'Свод '!HX19+Лист1!R19+Лист1!AD19+X19</f>
        <v>996747.7762499999</v>
      </c>
      <c r="AG19" s="42">
        <f>'Свод '!AI19+'Свод '!BA19+'Свод '!BC19+'Свод '!CG19+'Свод '!DG19+'Свод '!DK19+'Свод '!DQ19+'Свод '!FC19+'Свод '!FI19+'Свод '!HE19+'Свод '!HQ19+'Свод '!HY19+Лист1!S19+Лист1!AE19+Y19</f>
        <v>936272.85317</v>
      </c>
      <c r="AH19" s="42">
        <f>'Свод '!B19+'Свод '!D19+'Свод '!F19+'Свод '!H19</f>
        <v>104014</v>
      </c>
      <c r="AI19" s="42">
        <f>'Свод '!C19+'Свод '!E19+'Свод '!G19+'Свод '!I19</f>
        <v>104014</v>
      </c>
      <c r="AJ19" s="39">
        <f>'Свод '!AB19+'Свод '!AD19+'Свод '!AL19+'Свод '!AN19+'Свод '!AP19+'Свод '!BD19+'Свод '!BF19+'Свод '!BH19+'Свод '!BJ19+'Свод '!BL19+'Свод '!BN19+'Свод '!BP19+'Свод '!BR19+'Свод '!BT19+'Свод '!BV19+'Свод '!BX19+'Свод '!BZ19+'Свод '!CH19+'Свод '!CJ19+'Свод '!CL19+'Свод '!CN19+'Свод '!CP19+'Свод '!CR19+'Свод '!CT19+'Свод '!CV19+'Свод '!CX19+'Свод '!CZ19+'Свод '!DB19+'Свод '!DH19+'Свод '!DN19+'Свод '!DR19+'Свод '!DT19+'Свод '!DV19+'Свод '!DX19+'Свод '!DZ19+'Свод '!EB19+'Свод '!ED19+'Свод '!EF19+'Свод '!EH19+'Свод '!EJ19+'Свод '!EL19+'Свод '!FJ19+'Свод '!FL19+'Свод '!FN19+'Свод '!FP19+'Свод '!FR19+'Свод '!FT19+'Свод '!FV19+'Свод '!FX19+'Свод '!FZ19+'Свод '!GB19+'Свод '!GD19+'Свод '!GF19+'Свод '!GH19+'Свод '!HF19+'Свод '!HH19+'Свод '!HJ19+'Свод '!HL19+'Свод '!HN19+'Свод '!HR19+Лист1!B19+Лист1!D19+Лист1!F19+Лист1!H19+Лист1!J19+Лист1!L19+Лист1!N19+Лист1!P19+'Свод '!DL19</f>
        <v>280477.65599999996</v>
      </c>
      <c r="AK19" s="39">
        <f>'Свод '!AC19+'Свод '!AE19+'Свод '!AM19+'Свод '!AO19+'Свод '!AQ19+'Свод '!BE19+'Свод '!BG19+'Свод '!BI19+'Свод '!BK19+'Свод '!BM19+'Свод '!BO19+'Свод '!BQ19+'Свод '!BS19+'Свод '!BU19+'Свод '!BW19+'Свод '!BY19+'Свод '!CA19+'Свод '!CI19+'Свод '!CK19+'Свод '!CM19+'Свод '!CO19+'Свод '!CQ19+'Свод '!CS19+'Свод '!CU19+'Свод '!CW19+'Свод '!CY19+'Свод '!DA19+'Свод '!DC19+'Свод '!DI19+'Свод '!DO19+'Свод '!DS19+'Свод '!DU19+'Свод '!DW19+'Свод '!DY19+'Свод '!EA19+'Свод '!EC19+'Свод '!EE19+'Свод '!EG19+'Свод '!EI19+'Свод '!EK19+'Свод '!EM19+'Свод '!FK19+'Свод '!FM19+'Свод '!FO19+'Свод '!FQ19+'Свод '!FS19+'Свод '!FU19+'Свод '!FW19+'Свод '!FY19+'Свод '!GA19+'Свод '!GC19+'Свод '!GE19+'Свод '!GG19+'Свод '!GI19+'Свод '!HG19+'Свод '!HI19+'Свод '!HK19+'Свод '!HM19+'Свод '!HO19+'Свод '!HS19+Лист1!C19+Лист1!E19+Лист1!G19+Лист1!I19+Лист1!K19+Лист1!M19+Лист1!O19+Лист1!Q19+'Свод '!DM19</f>
        <v>222068.44653000002</v>
      </c>
      <c r="AL19" s="144">
        <f>'Свод '!AF19+'Свод '!AJ19+'Свод '!BB19+'Свод '!CB19+'Свод '!CD19+'Свод '!EN19+'Свод '!FD19+'Свод '!FF19+'Свод '!GJ19+'Свод '!GL19+'Свод '!GN19+'Свод '!GP19+'Свод '!GR19+'Свод '!GT19+'Свод '!GV19+'Свод '!GX19+'Свод '!HT19+'Свод '!HV19</f>
        <v>582293.349</v>
      </c>
      <c r="AM19" s="42">
        <f>'Свод '!AG19+'Свод '!AK19+'Свод '!BC19+'Свод '!CC19+'Свод '!CE19+'Свод '!EO19+'Свод '!FE19+'Свод '!FG19+'Свод '!GK19+'Свод '!GM19+'Свод '!GO19+'Свод '!GQ19+'Свод '!GS19+'Свод '!GU19+'Свод '!GW19+'Свод '!GY19+'Свод '!HU19+'Свод '!HW19</f>
        <v>582269.15861</v>
      </c>
      <c r="AN19" s="42">
        <f>'Свод '!J19+'Свод '!L19+'Свод '!N19+'Свод '!P19+'Свод '!R19+'Свод '!T19+'Свод '!V19+'Свод '!X19+'Свод '!Z19+'Свод '!AR19+'Свод '!AT19+'Свод '!AV19+'Свод '!AX19+'Свод '!DD19+'Свод '!EP19+'Свод '!ER19+'Свод '!ET19+'Свод '!EV19+'Свод '!EX19+'Свод '!EZ19+'Свод '!GZ19+'Свод '!HB19+T19+V19+Z19+AB19</f>
        <v>29962.771249999998</v>
      </c>
      <c r="AO19" s="42">
        <f>'Свод '!K19+'Свод '!M19+'Свод '!O19+'Свод '!Q19+'Свод '!S19+'Свод '!U19+'Свод '!W19+'Свод '!Y19+'Свод '!AA19+'Свод '!AS19+'Свод '!AU19+'Свод '!AW19+'Свод '!AY19+'Свод '!DE19+'Свод '!EQ19+'Свод '!ES19+'Свод '!EU19+'Свод '!EW19+'Свод '!EY19+'Свод '!FA19+'Свод '!HA19+'Свод '!HC19+U19+W19+AA19+AC19</f>
        <v>27921.24803</v>
      </c>
    </row>
    <row r="20" spans="1:41" ht="12.75" customHeight="1">
      <c r="A20" s="103" t="s">
        <v>156</v>
      </c>
      <c r="B20" s="104"/>
      <c r="C20" s="42"/>
      <c r="D20" s="40"/>
      <c r="E20" s="40"/>
      <c r="F20" s="43">
        <v>448</v>
      </c>
      <c r="G20" s="42">
        <v>442.16253</v>
      </c>
      <c r="H20" s="40"/>
      <c r="I20" s="40"/>
      <c r="J20" s="105"/>
      <c r="K20" s="42"/>
      <c r="L20" s="40"/>
      <c r="M20" s="40"/>
      <c r="N20" s="40"/>
      <c r="O20" s="40"/>
      <c r="P20" s="40"/>
      <c r="Q20" s="40"/>
      <c r="R20" s="42">
        <f t="shared" si="1"/>
        <v>448</v>
      </c>
      <c r="S20" s="42">
        <f t="shared" si="2"/>
        <v>442.16253</v>
      </c>
      <c r="T20" s="42"/>
      <c r="U20" s="42"/>
      <c r="V20" s="40"/>
      <c r="W20" s="40"/>
      <c r="X20" s="42">
        <f t="shared" si="3"/>
        <v>0</v>
      </c>
      <c r="Y20" s="42">
        <f t="shared" si="4"/>
        <v>0</v>
      </c>
      <c r="Z20" s="42">
        <v>2799.2</v>
      </c>
      <c r="AA20" s="42">
        <v>2799.2</v>
      </c>
      <c r="AB20" s="40"/>
      <c r="AC20" s="40"/>
      <c r="AD20" s="42">
        <f t="shared" si="5"/>
        <v>2799.2</v>
      </c>
      <c r="AE20" s="42">
        <f t="shared" si="6"/>
        <v>2799.2</v>
      </c>
      <c r="AF20" s="42">
        <f>'Свод '!AH20+'Свод '!AZ20+'Свод '!BB20+'Свод '!CF20+'Свод '!DF20+'Свод '!DJ20+'Свод '!DP20+'Свод '!FB20+'Свод '!FH20+'Свод '!HD20+'Свод '!HP20+'Свод '!HX20+Лист1!R20+Лист1!AD20+X20</f>
        <v>893751.857</v>
      </c>
      <c r="AG20" s="42">
        <f>'Свод '!AI20+'Свод '!BA20+'Свод '!BC20+'Свод '!CG20+'Свод '!DG20+'Свод '!DK20+'Свод '!DQ20+'Свод '!FC20+'Свод '!FI20+'Свод '!HE20+'Свод '!HQ20+'Свод '!HY20+Лист1!S20+Лист1!AE20+Y20</f>
        <v>840136.99453</v>
      </c>
      <c r="AH20" s="42">
        <f>'Свод '!B20+'Свод '!D20+'Свод '!F20+'Свод '!H20</f>
        <v>71664</v>
      </c>
      <c r="AI20" s="42">
        <f>'Свод '!C20+'Свод '!E20+'Свод '!G20+'Свод '!I20</f>
        <v>71664</v>
      </c>
      <c r="AJ20" s="39">
        <f>'Свод '!AB20+'Свод '!AD20+'Свод '!AL20+'Свод '!AN20+'Свод '!AP20+'Свод '!BD20+'Свод '!BF20+'Свод '!BH20+'Свод '!BJ20+'Свод '!BL20+'Свод '!BN20+'Свод '!BP20+'Свод '!BR20+'Свод '!BT20+'Свод '!BV20+'Свод '!BX20+'Свод '!BZ20+'Свод '!CH20+'Свод '!CJ20+'Свод '!CL20+'Свод '!CN20+'Свод '!CP20+'Свод '!CR20+'Свод '!CT20+'Свод '!CV20+'Свод '!CX20+'Свод '!CZ20+'Свод '!DB20+'Свод '!DH20+'Свод '!DN20+'Свод '!DR20+'Свод '!DT20+'Свод '!DV20+'Свод '!DX20+'Свод '!DZ20+'Свод '!EB20+'Свод '!ED20+'Свод '!EF20+'Свод '!EH20+'Свод '!EJ20+'Свод '!EL20+'Свод '!FJ20+'Свод '!FL20+'Свод '!FN20+'Свод '!FP20+'Свод '!FR20+'Свод '!FT20+'Свод '!FV20+'Свод '!FX20+'Свод '!FZ20+'Свод '!GB20+'Свод '!GD20+'Свод '!GF20+'Свод '!GH20+'Свод '!HF20+'Свод '!HH20+'Свод '!HJ20+'Свод '!HL20+'Свод '!HN20+'Свод '!HR20+Лист1!B20+Лист1!D20+Лист1!F20+Лист1!H20+Лист1!J20+Лист1!L20+Лист1!N20+Лист1!P20+'Свод '!DL20</f>
        <v>223330.70799999998</v>
      </c>
      <c r="AK20" s="39">
        <f>'Свод '!AC20+'Свод '!AE20+'Свод '!AM20+'Свод '!AO20+'Свод '!AQ20+'Свод '!BE20+'Свод '!BG20+'Свод '!BI20+'Свод '!BK20+'Свод '!BM20+'Свод '!BO20+'Свод '!BQ20+'Свод '!BS20+'Свод '!BU20+'Свод '!BW20+'Свод '!BY20+'Свод '!CA20+'Свод '!CI20+'Свод '!CK20+'Свод '!CM20+'Свод '!CO20+'Свод '!CQ20+'Свод '!CS20+'Свод '!CU20+'Свод '!CW20+'Свод '!CY20+'Свод '!DA20+'Свод '!DC20+'Свод '!DI20+'Свод '!DO20+'Свод '!DS20+'Свод '!DU20+'Свод '!DW20+'Свод '!DY20+'Свод '!EA20+'Свод '!EC20+'Свод '!EE20+'Свод '!EG20+'Свод '!EI20+'Свод '!EK20+'Свод '!EM20+'Свод '!FK20+'Свод '!FM20+'Свод '!FO20+'Свод '!FQ20+'Свод '!FS20+'Свод '!FU20+'Свод '!FW20+'Свод '!FY20+'Свод '!GA20+'Свод '!GC20+'Свод '!GE20+'Свод '!GG20+'Свод '!GI20+'Свод '!HG20+'Свод '!HI20+'Свод '!HK20+'Свод '!HM20+'Свод '!HO20+'Свод '!HS20+Лист1!C20+Лист1!E20+Лист1!G20+Лист1!I20+Лист1!K20+Лист1!M20+Лист1!O20+Лист1!Q20+'Свод '!DM20</f>
        <v>169715.84553</v>
      </c>
      <c r="AL20" s="144">
        <f>'Свод '!AF20+'Свод '!AJ20+'Свод '!BB20+'Свод '!CB20+'Свод '!CD20+'Свод '!EN20+'Свод '!FD20+'Свод '!FF20+'Свод '!GJ20+'Свод '!GL20+'Свод '!GN20+'Свод '!GP20+'Свод '!GR20+'Свод '!GT20+'Свод '!GV20+'Свод '!GX20+'Свод '!HT20+'Свод '!HV20</f>
        <v>580608.349</v>
      </c>
      <c r="AM20" s="42">
        <f>'Свод '!AG20+'Свод '!AK20+'Свод '!BC20+'Свод '!CC20+'Свод '!CE20+'Свод '!EO20+'Свод '!FE20+'Свод '!FG20+'Свод '!GK20+'Свод '!GM20+'Свод '!GO20+'Свод '!GQ20+'Свод '!GS20+'Свод '!GU20+'Свод '!GW20+'Свод '!GY20+'Свод '!HU20+'Свод '!HW20</f>
        <v>580608.349</v>
      </c>
      <c r="AN20" s="42">
        <f>'Свод '!J20+'Свод '!L20+'Свод '!N20+'Свод '!P20+'Свод '!R20+'Свод '!T20+'Свод '!V20+'Свод '!X20+'Свод '!Z20+'Свод '!AR20+'Свод '!AT20+'Свод '!AV20+'Свод '!AX20+'Свод '!DD20+'Свод '!EP20+'Свод '!ER20+'Свод '!ET20+'Свод '!EV20+'Свод '!EX20+'Свод '!EZ20+'Свод '!GZ20+'Свод '!HB20+T20+V20+Z20+AB20</f>
        <v>18148.8</v>
      </c>
      <c r="AO20" s="42">
        <f>'Свод '!K20+'Свод '!M20+'Свод '!O20+'Свод '!Q20+'Свод '!S20+'Свод '!U20+'Свод '!W20+'Свод '!Y20+'Свод '!AA20+'Свод '!AS20+'Свод '!AU20+'Свод '!AW20+'Свод '!AY20+'Свод '!DE20+'Свод '!EQ20+'Свод '!ES20+'Свод '!EU20+'Свод '!EW20+'Свод '!EY20+'Свод '!FA20+'Свод '!HA20+'Свод '!HC20+U20+W20+AA20+AC20</f>
        <v>18148.8</v>
      </c>
    </row>
    <row r="21" spans="1:41" ht="12.75">
      <c r="A21" s="109" t="s">
        <v>157</v>
      </c>
      <c r="B21" s="104"/>
      <c r="C21" s="42"/>
      <c r="D21" s="40"/>
      <c r="E21" s="40"/>
      <c r="F21" s="43">
        <v>4554</v>
      </c>
      <c r="G21" s="42">
        <v>4554</v>
      </c>
      <c r="H21" s="40"/>
      <c r="I21" s="40"/>
      <c r="J21" s="110"/>
      <c r="K21" s="42"/>
      <c r="L21" s="40">
        <v>13446</v>
      </c>
      <c r="M21" s="40">
        <v>13378.784</v>
      </c>
      <c r="N21" s="55"/>
      <c r="O21" s="55"/>
      <c r="P21" s="55"/>
      <c r="Q21" s="55"/>
      <c r="R21" s="42">
        <f t="shared" si="1"/>
        <v>18000</v>
      </c>
      <c r="S21" s="42">
        <f t="shared" si="2"/>
        <v>17932.784</v>
      </c>
      <c r="T21" s="42"/>
      <c r="U21" s="42"/>
      <c r="V21" s="40"/>
      <c r="W21" s="40"/>
      <c r="X21" s="42">
        <f t="shared" si="3"/>
        <v>0</v>
      </c>
      <c r="Y21" s="42">
        <f t="shared" si="4"/>
        <v>0</v>
      </c>
      <c r="Z21" s="42"/>
      <c r="AA21" s="42"/>
      <c r="AB21" s="40"/>
      <c r="AC21" s="40"/>
      <c r="AD21" s="42">
        <f t="shared" si="5"/>
        <v>0</v>
      </c>
      <c r="AE21" s="42">
        <f t="shared" si="6"/>
        <v>0</v>
      </c>
      <c r="AF21" s="42">
        <f>'Свод '!AH21+'Свод '!AZ21+'Свод '!BB21+'Свод '!CF21+'Свод '!DF21+'Свод '!DJ21+'Свод '!DP21+'Свод '!FB21+'Свод '!FH21+'Свод '!HD21+'Свод '!HP21+'Свод '!HX21+Лист1!R21+Лист1!AD21+X21</f>
        <v>50080.77066</v>
      </c>
      <c r="AG21" s="42">
        <f>'Свод '!AI21+'Свод '!BA21+'Свод '!BC21+'Свод '!CG21+'Свод '!DG21+'Свод '!DK21+'Свод '!DQ21+'Свод '!FC21+'Свод '!FI21+'Свод '!HE21+'Свод '!HQ21+'Свод '!HY21+Лист1!S21+Лист1!AE21+Y21</f>
        <v>45389.75566</v>
      </c>
      <c r="AH21" s="42">
        <f>'Свод '!B21+'Свод '!D21+'Свод '!F21+'Свод '!H21</f>
        <v>10006.000000000002</v>
      </c>
      <c r="AI21" s="42">
        <f>'Свод '!C21+'Свод '!E21+'Свод '!G21+'Свод '!I21</f>
        <v>10006.000000000002</v>
      </c>
      <c r="AJ21" s="39">
        <f>'Свод '!AB21+'Свод '!AD21+'Свод '!AL21+'Свод '!AN21+'Свод '!AP21+'Свод '!BD21+'Свод '!BF21+'Свод '!BH21+'Свод '!BJ21+'Свод '!BL21+'Свод '!BN21+'Свод '!BP21+'Свод '!BR21+'Свод '!BT21+'Свод '!BV21+'Свод '!BX21+'Свод '!BZ21+'Свод '!CH21+'Свод '!CJ21+'Свод '!CL21+'Свод '!CN21+'Свод '!CP21+'Свод '!CR21+'Свод '!CT21+'Свод '!CV21+'Свод '!CX21+'Свод '!CZ21+'Свод '!DB21+'Свод '!DH21+'Свод '!DN21+'Свод '!DR21+'Свод '!DT21+'Свод '!DV21+'Свод '!DX21+'Свод '!DZ21+'Свод '!EB21+'Свод '!ED21+'Свод '!EF21+'Свод '!EH21+'Свод '!EJ21+'Свод '!EL21+'Свод '!FJ21+'Свод '!FL21+'Свод '!FN21+'Свод '!FP21+'Свод '!FR21+'Свод '!FT21+'Свод '!FV21+'Свод '!FX21+'Свод '!FZ21+'Свод '!GB21+'Свод '!GD21+'Свод '!GF21+'Свод '!GH21+'Свод '!HF21+'Свод '!HH21+'Свод '!HJ21+'Свод '!HL21+'Свод '!HN21+'Свод '!HR21+Лист1!B21+Лист1!D21+Лист1!F21+Лист1!H21+Лист1!J21+Лист1!L21+Лист1!N21+Лист1!P21+'Свод '!DL21</f>
        <v>32454.004</v>
      </c>
      <c r="AK21" s="39">
        <f>'Свод '!AC21+'Свод '!AE21+'Свод '!AM21+'Свод '!AO21+'Свод '!AQ21+'Свод '!BE21+'Свод '!BG21+'Свод '!BI21+'Свод '!BK21+'Свод '!BM21+'Свод '!BO21+'Свод '!BQ21+'Свод '!BS21+'Свод '!BU21+'Свод '!BW21+'Свод '!BY21+'Свод '!CA21+'Свод '!CI21+'Свод '!CK21+'Свод '!CM21+'Свод '!CO21+'Свод '!CQ21+'Свод '!CS21+'Свод '!CU21+'Свод '!CW21+'Свод '!CY21+'Свод '!DA21+'Свод '!DC21+'Свод '!DI21+'Свод '!DO21+'Свод '!DS21+'Свод '!DU21+'Свод '!DW21+'Свод '!DY21+'Свод '!EA21+'Свод '!EC21+'Свод '!EE21+'Свод '!EG21+'Свод '!EI21+'Свод '!EK21+'Свод '!EM21+'Свод '!FK21+'Свод '!FM21+'Свод '!FO21+'Свод '!FQ21+'Свод '!FS21+'Свод '!FU21+'Свод '!FW21+'Свод '!FY21+'Свод '!GA21+'Свод '!GC21+'Свод '!GE21+'Свод '!GG21+'Свод '!GI21+'Свод '!HG21+'Свод '!HI21+'Свод '!HK21+'Свод '!HM21+'Свод '!HO21+'Свод '!HS21+Лист1!C21+Лист1!E21+Лист1!G21+Лист1!I21+Лист1!K21+Лист1!M21+Лист1!O21+Лист1!Q21+'Свод '!DM21</f>
        <v>27762.989</v>
      </c>
      <c r="AL21" s="144">
        <f>'Свод '!AF21+'Свод '!AJ21+'Свод '!BB21+'Свод '!CB21+'Свод '!CD21+'Свод '!EN21+'Свод '!FD21+'Свод '!FF21+'Свод '!GJ21+'Свод '!GL21+'Свод '!GN21+'Свод '!GP21+'Свод '!GR21+'Свод '!GT21+'Свод '!GV21+'Свод '!GX21+'Свод '!HT21+'Свод '!HV21</f>
        <v>0</v>
      </c>
      <c r="AM21" s="42">
        <f>'Свод '!AG21+'Свод '!AK21+'Свод '!BC21+'Свод '!CC21+'Свод '!CE21+'Свод '!EO21+'Свод '!FE21+'Свод '!FG21+'Свод '!GK21+'Свод '!GM21+'Свод '!GO21+'Свод '!GQ21+'Свод '!GS21+'Свод '!GU21+'Свод '!GW21+'Свод '!GY21+'Свод '!HU21+'Свод '!HW21</f>
        <v>0</v>
      </c>
      <c r="AN21" s="42">
        <f>'Свод '!J21+'Свод '!L21+'Свод '!N21+'Свод '!P21+'Свод '!R21+'Свод '!T21+'Свод '!V21+'Свод '!X21+'Свод '!Z21+'Свод '!AR21+'Свод '!AT21+'Свод '!AV21+'Свод '!AX21+'Свод '!DD21+'Свод '!EP21+'Свод '!ER21+'Свод '!ET21+'Свод '!EV21+'Свод '!EX21+'Свод '!EZ21+'Свод '!GZ21+'Свод '!HB21+T21+V21+Z21+AB21</f>
        <v>7620.76666</v>
      </c>
      <c r="AO21" s="42">
        <f>'Свод '!K21+'Свод '!M21+'Свод '!O21+'Свод '!Q21+'Свод '!S21+'Свод '!U21+'Свод '!W21+'Свод '!Y21+'Свод '!AA21+'Свод '!AS21+'Свод '!AU21+'Свод '!AW21+'Свод '!AY21+'Свод '!DE21+'Свод '!EQ21+'Свод '!ES21+'Свод '!EU21+'Свод '!EW21+'Свод '!EY21+'Свод '!FA21+'Свод '!HA21+'Свод '!HC21+U21+W21+AA21+AC21</f>
        <v>7620.76666</v>
      </c>
    </row>
    <row r="22" spans="1:41" ht="12.75" customHeight="1">
      <c r="A22" s="109" t="s">
        <v>158</v>
      </c>
      <c r="B22" s="104"/>
      <c r="C22" s="42"/>
      <c r="D22" s="40"/>
      <c r="E22" s="40"/>
      <c r="F22" s="43"/>
      <c r="G22" s="46"/>
      <c r="H22" s="40"/>
      <c r="I22" s="40"/>
      <c r="J22" s="110"/>
      <c r="K22" s="42"/>
      <c r="L22" s="40"/>
      <c r="M22" s="40"/>
      <c r="N22" s="40"/>
      <c r="O22" s="40"/>
      <c r="P22" s="40"/>
      <c r="Q22" s="40"/>
      <c r="R22" s="42">
        <f t="shared" si="1"/>
        <v>0</v>
      </c>
      <c r="S22" s="42">
        <f t="shared" si="2"/>
        <v>0</v>
      </c>
      <c r="T22" s="42"/>
      <c r="U22" s="42"/>
      <c r="V22" s="40"/>
      <c r="W22" s="40"/>
      <c r="X22" s="42">
        <f t="shared" si="3"/>
        <v>0</v>
      </c>
      <c r="Y22" s="42">
        <f t="shared" si="4"/>
        <v>0</v>
      </c>
      <c r="Z22" s="42"/>
      <c r="AA22" s="42"/>
      <c r="AB22" s="40"/>
      <c r="AC22" s="40"/>
      <c r="AD22" s="42">
        <f t="shared" si="5"/>
        <v>0</v>
      </c>
      <c r="AE22" s="42">
        <f t="shared" si="6"/>
        <v>0</v>
      </c>
      <c r="AF22" s="42">
        <f>'Свод '!AH22+'Свод '!AZ22+'Свод '!BB22+'Свод '!CF22+'Свод '!DF22+'Свод '!DJ22+'Свод '!DP22+'Свод '!FB22+'Свод '!FH22+'Свод '!HD22+'Свод '!HP22+'Свод '!HX22+Лист1!R22+Лист1!AD22+X22</f>
        <v>6286.78957</v>
      </c>
      <c r="AG22" s="42">
        <f>'Свод '!AI22+'Свод '!BA22+'Свод '!BC22+'Свод '!CG22+'Свод '!DG22+'Свод '!DK22+'Свод '!DQ22+'Свод '!FC22+'Свод '!FI22+'Свод '!HE22+'Свод '!HQ22+'Свод '!HY22+Лист1!S22+Лист1!AE22+Y22</f>
        <v>4286.75757</v>
      </c>
      <c r="AH22" s="42">
        <f>'Свод '!B22+'Свод '!D22+'Свод '!F22+'Свод '!H22</f>
        <v>1636</v>
      </c>
      <c r="AI22" s="42">
        <f>'Свод '!C22+'Свод '!E22+'Свод '!G22+'Свод '!I22</f>
        <v>1636</v>
      </c>
      <c r="AJ22" s="39">
        <f>'Свод '!AB22+'Свод '!AD22+'Свод '!AL22+'Свод '!AN22+'Свод '!AP22+'Свод '!BD22+'Свод '!BF22+'Свод '!BH22+'Свод '!BJ22+'Свод '!BL22+'Свод '!BN22+'Свод '!BP22+'Свод '!BR22+'Свод '!BT22+'Свод '!BV22+'Свод '!BX22+'Свод '!BZ22+'Свод '!CH22+'Свод '!CJ22+'Свод '!CL22+'Свод '!CN22+'Свод '!CP22+'Свод '!CR22+'Свод '!CT22+'Свод '!CV22+'Свод '!CX22+'Свод '!CZ22+'Свод '!DB22+'Свод '!DH22+'Свод '!DN22+'Свод '!DR22+'Свод '!DT22+'Свод '!DV22+'Свод '!DX22+'Свод '!DZ22+'Свод '!EB22+'Свод '!ED22+'Свод '!EF22+'Свод '!EH22+'Свод '!EJ22+'Свод '!EL22+'Свод '!FJ22+'Свод '!FL22+'Свод '!FN22+'Свод '!FP22+'Свод '!FR22+'Свод '!FT22+'Свод '!FV22+'Свод '!FX22+'Свод '!FZ22+'Свод '!GB22+'Свод '!GD22+'Свод '!GF22+'Свод '!GH22+'Свод '!HF22+'Свод '!HH22+'Свод '!HJ22+'Свод '!HL22+'Свод '!HN22+'Свод '!HR22+Лист1!B22+Лист1!D22+Лист1!F22+Лист1!H22+Лист1!J22+Лист1!L22+Лист1!N22+Лист1!P22+'Свод '!DL22</f>
        <v>1813.123</v>
      </c>
      <c r="AK22" s="39">
        <f>'Свод '!AC22+'Свод '!AE22+'Свод '!AM22+'Свод '!AO22+'Свод '!AQ22+'Свод '!BE22+'Свод '!BG22+'Свод '!BI22+'Свод '!BK22+'Свод '!BM22+'Свод '!BO22+'Свод '!BQ22+'Свод '!BS22+'Свод '!BU22+'Свод '!BW22+'Свод '!BY22+'Свод '!CA22+'Свод '!CI22+'Свод '!CK22+'Свод '!CM22+'Свод '!CO22+'Свод '!CQ22+'Свод '!CS22+'Свод '!CU22+'Свод '!CW22+'Свод '!CY22+'Свод '!DA22+'Свод '!DC22+'Свод '!DI22+'Свод '!DO22+'Свод '!DS22+'Свод '!DU22+'Свод '!DW22+'Свод '!DY22+'Свод '!EA22+'Свод '!EC22+'Свод '!EE22+'Свод '!EG22+'Свод '!EI22+'Свод '!EK22+'Свод '!EM22+'Свод '!FK22+'Свод '!FM22+'Свод '!FO22+'Свод '!FQ22+'Свод '!FS22+'Свод '!FU22+'Свод '!FW22+'Свод '!FY22+'Свод '!GA22+'Свод '!GC22+'Свод '!GE22+'Свод '!GG22+'Свод '!GI22+'Свод '!HG22+'Свод '!HI22+'Свод '!HK22+'Свод '!HM22+'Свод '!HO22+'Свод '!HS22+Лист1!C22+Лист1!E22+Лист1!G22+Лист1!I22+Лист1!K22+Лист1!M22+Лист1!O22+Лист1!Q22+'Свод '!DM22</f>
        <v>1813.091</v>
      </c>
      <c r="AL22" s="144">
        <f>'Свод '!AF22+'Свод '!AJ22+'Свод '!BB22+'Свод '!CB22+'Свод '!CD22+'Свод '!EN22+'Свод '!FD22+'Свод '!FF22+'Свод '!GJ22+'Свод '!GL22+'Свод '!GN22+'Свод '!GP22+'Свод '!GR22+'Свод '!GT22+'Свод '!GV22+'Свод '!GX22+'Свод '!HT22+'Свод '!HV22</f>
        <v>293</v>
      </c>
      <c r="AM22" s="42">
        <f>'Свод '!AG22+'Свод '!AK22+'Свод '!BC22+'Свод '!CC22+'Свод '!CE22+'Свод '!EO22+'Свод '!FE22+'Свод '!FG22+'Свод '!GK22+'Свод '!GM22+'Свод '!GO22+'Свод '!GQ22+'Свод '!GS22+'Свод '!GU22+'Свод '!GW22+'Свод '!GY22+'Свод '!HU22+'Свод '!HW22</f>
        <v>293</v>
      </c>
      <c r="AN22" s="42">
        <f>'Свод '!J22+'Свод '!L22+'Свод '!N22+'Свод '!P22+'Свод '!R22+'Свод '!T22+'Свод '!V22+'Свод '!X22+'Свод '!Z22+'Свод '!AR22+'Свод '!AT22+'Свод '!AV22+'Свод '!AX22+'Свод '!DD22+'Свод '!EP22+'Свод '!ER22+'Свод '!ET22+'Свод '!EV22+'Свод '!EX22+'Свод '!EZ22+'Свод '!GZ22+'Свод '!HB22+T22+V22+Z22+AB22</f>
        <v>2544.66657</v>
      </c>
      <c r="AO22" s="42">
        <f>'Свод '!K22+'Свод '!M22+'Свод '!O22+'Свод '!Q22+'Свод '!S22+'Свод '!U22+'Свод '!W22+'Свод '!Y22+'Свод '!AA22+'Свод '!AS22+'Свод '!AU22+'Свод '!AW22+'Свод '!AY22+'Свод '!DE22+'Свод '!EQ22+'Свод '!ES22+'Свод '!EU22+'Свод '!EW22+'Свод '!EY22+'Свод '!FA22+'Свод '!HA22+'Свод '!HC22+U22+W22+AA22+AC22</f>
        <v>544.66657</v>
      </c>
    </row>
    <row r="23" spans="1:41" ht="12.75">
      <c r="A23" s="109" t="s">
        <v>159</v>
      </c>
      <c r="B23" s="104"/>
      <c r="C23" s="42"/>
      <c r="D23" s="40"/>
      <c r="E23" s="40"/>
      <c r="F23" s="43"/>
      <c r="G23" s="46"/>
      <c r="H23" s="40"/>
      <c r="I23" s="40"/>
      <c r="J23" s="110"/>
      <c r="K23" s="42"/>
      <c r="L23" s="40"/>
      <c r="M23" s="40"/>
      <c r="N23" s="40"/>
      <c r="O23" s="40"/>
      <c r="P23" s="40"/>
      <c r="Q23" s="40"/>
      <c r="R23" s="42">
        <f t="shared" si="1"/>
        <v>0</v>
      </c>
      <c r="S23" s="42">
        <f t="shared" si="2"/>
        <v>0</v>
      </c>
      <c r="T23" s="42"/>
      <c r="U23" s="42"/>
      <c r="V23" s="40"/>
      <c r="W23" s="40"/>
      <c r="X23" s="42">
        <f t="shared" si="3"/>
        <v>0</v>
      </c>
      <c r="Y23" s="42">
        <f t="shared" si="4"/>
        <v>0</v>
      </c>
      <c r="Z23" s="42"/>
      <c r="AA23" s="42"/>
      <c r="AB23" s="40"/>
      <c r="AC23" s="40"/>
      <c r="AD23" s="42">
        <f t="shared" si="5"/>
        <v>0</v>
      </c>
      <c r="AE23" s="42">
        <f t="shared" si="6"/>
        <v>0</v>
      </c>
      <c r="AF23" s="42">
        <f>'Свод '!AH23+'Свод '!AZ23+'Свод '!BB23+'Свод '!CF23+'Свод '!DF23+'Свод '!DJ23+'Свод '!DP23+'Свод '!FB23+'Свод '!FH23+'Свод '!HD23+'Свод '!HP23+'Свод '!HX23+Лист1!R23+Лист1!AD23+X23</f>
        <v>7081.5199999999995</v>
      </c>
      <c r="AG23" s="42">
        <f>'Свод '!AI23+'Свод '!BA23+'Свод '!BC23+'Свод '!CG23+'Свод '!DG23+'Свод '!DK23+'Свод '!DQ23+'Свод '!FC23+'Свод '!FI23+'Свод '!HE23+'Свод '!HQ23+'Свод '!HY23+Лист1!S23+Лист1!AE23+Y23</f>
        <v>7081.5199999999995</v>
      </c>
      <c r="AH23" s="42">
        <f>'Свод '!B23+'Свод '!D23+'Свод '!F23+'Свод '!H23</f>
        <v>2484.9999999999995</v>
      </c>
      <c r="AI23" s="42">
        <f>'Свод '!C23+'Свод '!E23+'Свод '!G23+'Свод '!I23</f>
        <v>2484.9999999999995</v>
      </c>
      <c r="AJ23" s="39">
        <f>'Свод '!AB23+'Свод '!AD23+'Свод '!AL23+'Свод '!AN23+'Свод '!AP23+'Свод '!BD23+'Свод '!BF23+'Свод '!BH23+'Свод '!BJ23+'Свод '!BL23+'Свод '!BN23+'Свод '!BP23+'Свод '!BR23+'Свод '!BT23+'Свод '!BV23+'Свод '!BX23+'Свод '!BZ23+'Свод '!CH23+'Свод '!CJ23+'Свод '!CL23+'Свод '!CN23+'Свод '!CP23+'Свод '!CR23+'Свод '!CT23+'Свод '!CV23+'Свод '!CX23+'Свод '!CZ23+'Свод '!DB23+'Свод '!DH23+'Свод '!DN23+'Свод '!DR23+'Свод '!DT23+'Свод '!DV23+'Свод '!DX23+'Свод '!DZ23+'Свод '!EB23+'Свод '!ED23+'Свод '!EF23+'Свод '!EH23+'Свод '!EJ23+'Свод '!EL23+'Свод '!FJ23+'Свод '!FL23+'Свод '!FN23+'Свод '!FP23+'Свод '!FR23+'Свод '!FT23+'Свод '!FV23+'Свод '!FX23+'Свод '!FZ23+'Свод '!GB23+'Свод '!GD23+'Свод '!GF23+'Свод '!GH23+'Свод '!HF23+'Свод '!HH23+'Свод '!HJ23+'Свод '!HL23+'Свод '!HN23+'Свод '!HR23+Лист1!B23+Лист1!D23+Лист1!F23+Лист1!H23+Лист1!J23+Лист1!L23+Лист1!N23+Лист1!P23+'Свод '!DL23</f>
        <v>4157.52</v>
      </c>
      <c r="AK23" s="39">
        <f>'Свод '!AC23+'Свод '!AE23+'Свод '!AM23+'Свод '!AO23+'Свод '!AQ23+'Свод '!BE23+'Свод '!BG23+'Свод '!BI23+'Свод '!BK23+'Свод '!BM23+'Свод '!BO23+'Свод '!BQ23+'Свод '!BS23+'Свод '!BU23+'Свод '!BW23+'Свод '!BY23+'Свод '!CA23+'Свод '!CI23+'Свод '!CK23+'Свод '!CM23+'Свод '!CO23+'Свод '!CQ23+'Свод '!CS23+'Свод '!CU23+'Свод '!CW23+'Свод '!CY23+'Свод '!DA23+'Свод '!DC23+'Свод '!DI23+'Свод '!DO23+'Свод '!DS23+'Свод '!DU23+'Свод '!DW23+'Свод '!DY23+'Свод '!EA23+'Свод '!EC23+'Свод '!EE23+'Свод '!EG23+'Свод '!EI23+'Свод '!EK23+'Свод '!EM23+'Свод '!FK23+'Свод '!FM23+'Свод '!FO23+'Свод '!FQ23+'Свод '!FS23+'Свод '!FU23+'Свод '!FW23+'Свод '!FY23+'Свод '!GA23+'Свод '!GC23+'Свод '!GE23+'Свод '!GG23+'Свод '!GI23+'Свод '!HG23+'Свод '!HI23+'Свод '!HK23+'Свод '!HM23+'Свод '!HO23+'Свод '!HS23+Лист1!C23+Лист1!E23+Лист1!G23+Лист1!I23+Лист1!K23+Лист1!M23+Лист1!O23+Лист1!Q23+'Свод '!DM23</f>
        <v>4157.52</v>
      </c>
      <c r="AL23" s="144">
        <f>'Свод '!AF23+'Свод '!AJ23+'Свод '!BB23+'Свод '!CB23+'Свод '!CD23+'Свод '!EN23+'Свод '!FD23+'Свод '!FF23+'Свод '!GJ23+'Свод '!GL23+'Свод '!GN23+'Свод '!GP23+'Свод '!GR23+'Свод '!GT23+'Свод '!GV23+'Свод '!GX23+'Свод '!HT23+'Свод '!HV23</f>
        <v>439</v>
      </c>
      <c r="AM23" s="42">
        <f>'Свод '!AG23+'Свод '!AK23+'Свод '!BC23+'Свод '!CC23+'Свод '!CE23+'Свод '!EO23+'Свод '!FE23+'Свод '!FG23+'Свод '!GK23+'Свод '!GM23+'Свод '!GO23+'Свод '!GQ23+'Свод '!GS23+'Свод '!GU23+'Свод '!GW23+'Свод '!GY23+'Свод '!HU23+'Свод '!HW23</f>
        <v>439</v>
      </c>
      <c r="AN23" s="42">
        <f>'Свод '!J23+'Свод '!L23+'Свод '!N23+'Свод '!P23+'Свод '!R23+'Свод '!T23+'Свод '!V23+'Свод '!X23+'Свод '!Z23+'Свод '!AR23+'Свод '!AT23+'Свод '!AV23+'Свод '!AX23+'Свод '!DD23+'Свод '!EP23+'Свод '!ER23+'Свод '!ET23+'Свод '!EV23+'Свод '!EX23+'Свод '!EZ23+'Свод '!GZ23+'Свод '!HB23+T23+V23+Z23+AB23</f>
        <v>0</v>
      </c>
      <c r="AO23" s="42">
        <f>'Свод '!K23+'Свод '!M23+'Свод '!O23+'Свод '!Q23+'Свод '!S23+'Свод '!U23+'Свод '!W23+'Свод '!Y23+'Свод '!AA23+'Свод '!AS23+'Свод '!AU23+'Свод '!AW23+'Свод '!AY23+'Свод '!DE23+'Свод '!EQ23+'Свод '!ES23+'Свод '!EU23+'Свод '!EW23+'Свод '!EY23+'Свод '!FA23+'Свод '!HA23+'Свод '!HC23+U23+W23+AA23+AC23</f>
        <v>0</v>
      </c>
    </row>
    <row r="24" spans="1:41" ht="12.75" customHeight="1">
      <c r="A24" s="109" t="s">
        <v>160</v>
      </c>
      <c r="B24" s="104"/>
      <c r="C24" s="42"/>
      <c r="D24" s="40"/>
      <c r="E24" s="40"/>
      <c r="F24" s="43">
        <v>16</v>
      </c>
      <c r="G24" s="42">
        <v>16</v>
      </c>
      <c r="H24" s="40"/>
      <c r="I24" s="40"/>
      <c r="J24" s="110"/>
      <c r="K24" s="42"/>
      <c r="L24" s="40"/>
      <c r="M24" s="40"/>
      <c r="N24" s="40"/>
      <c r="O24" s="40"/>
      <c r="P24" s="40"/>
      <c r="Q24" s="40"/>
      <c r="R24" s="42">
        <f t="shared" si="1"/>
        <v>16</v>
      </c>
      <c r="S24" s="42">
        <f t="shared" si="2"/>
        <v>16</v>
      </c>
      <c r="T24" s="42"/>
      <c r="U24" s="42"/>
      <c r="V24" s="40"/>
      <c r="W24" s="40"/>
      <c r="X24" s="42">
        <f t="shared" si="3"/>
        <v>0</v>
      </c>
      <c r="Y24" s="42">
        <f t="shared" si="4"/>
        <v>0</v>
      </c>
      <c r="Z24" s="42"/>
      <c r="AA24" s="42"/>
      <c r="AB24" s="40"/>
      <c r="AC24" s="40"/>
      <c r="AD24" s="42">
        <f t="shared" si="5"/>
        <v>0</v>
      </c>
      <c r="AE24" s="42">
        <f t="shared" si="6"/>
        <v>0</v>
      </c>
      <c r="AF24" s="42">
        <f>'Свод '!AH24+'Свод '!AZ24+'Свод '!BB24+'Свод '!CF24+'Свод '!DF24+'Свод '!DJ24+'Свод '!DP24+'Свод '!FB24+'Свод '!FH24+'Свод '!HD24+'Свод '!HP24+'Свод '!HX24+Лист1!R24+Лист1!AD24+X24</f>
        <v>6216.99767</v>
      </c>
      <c r="AG24" s="42">
        <f>'Свод '!AI24+'Свод '!BA24+'Свод '!BC24+'Свод '!CG24+'Свод '!DG24+'Свод '!DK24+'Свод '!DQ24+'Свод '!FC24+'Свод '!FI24+'Свод '!HE24+'Свод '!HQ24+'Свод '!HY24+Лист1!S24+Лист1!AE24+Y24</f>
        <v>6214.31895</v>
      </c>
      <c r="AH24" s="42">
        <f>'Свод '!B24+'Свод '!D24+'Свод '!F24+'Свод '!H24</f>
        <v>2364.9999999999995</v>
      </c>
      <c r="AI24" s="42">
        <f>'Свод '!C24+'Свод '!E24+'Свод '!G24+'Свод '!I24</f>
        <v>2364.9999999999995</v>
      </c>
      <c r="AJ24" s="39">
        <f>'Свод '!AB24+'Свод '!AD24+'Свод '!AL24+'Свод '!AN24+'Свод '!AP24+'Свод '!BD24+'Свод '!BF24+'Свод '!BH24+'Свод '!BJ24+'Свод '!BL24+'Свод '!BN24+'Свод '!BP24+'Свод '!BR24+'Свод '!BT24+'Свод '!BV24+'Свод '!BX24+'Свод '!BZ24+'Свод '!CH24+'Свод '!CJ24+'Свод '!CL24+'Свод '!CN24+'Свод '!CP24+'Свод '!CR24+'Свод '!CT24+'Свод '!CV24+'Свод '!CX24+'Свод '!CZ24+'Свод '!DB24+'Свод '!DH24+'Свод '!DN24+'Свод '!DR24+'Свод '!DT24+'Свод '!DV24+'Свод '!DX24+'Свод '!DZ24+'Свод '!EB24+'Свод '!ED24+'Свод '!EF24+'Свод '!EH24+'Свод '!EJ24+'Свод '!EL24+'Свод '!FJ24+'Свод '!FL24+'Свод '!FN24+'Свод '!FP24+'Свод '!FR24+'Свод '!FT24+'Свод '!FV24+'Свод '!FX24+'Свод '!FZ24+'Свод '!GB24+'Свод '!GD24+'Свод '!GF24+'Свод '!GH24+'Свод '!HF24+'Свод '!HH24+'Свод '!HJ24+'Свод '!HL24+'Свод '!HN24+'Свод '!HR24+Лист1!B24+Лист1!D24+Лист1!F24+Лист1!H24+Лист1!J24+Лист1!L24+Лист1!N24+Лист1!P24+'Свод '!DL24</f>
        <v>2215</v>
      </c>
      <c r="AK24" s="39">
        <f>'Свод '!AC24+'Свод '!AE24+'Свод '!AM24+'Свод '!AO24+'Свод '!AQ24+'Свод '!BE24+'Свод '!BG24+'Свод '!BI24+'Свод '!BK24+'Свод '!BM24+'Свод '!BO24+'Свод '!BQ24+'Свод '!BS24+'Свод '!BU24+'Свод '!BW24+'Свод '!BY24+'Свод '!CA24+'Свод '!CI24+'Свод '!CK24+'Свод '!CM24+'Свод '!CO24+'Свод '!CQ24+'Свод '!CS24+'Свод '!CU24+'Свод '!CW24+'Свод '!CY24+'Свод '!DA24+'Свод '!DC24+'Свод '!DI24+'Свод '!DO24+'Свод '!DS24+'Свод '!DU24+'Свод '!DW24+'Свод '!DY24+'Свод '!EA24+'Свод '!EC24+'Свод '!EE24+'Свод '!EG24+'Свод '!EI24+'Свод '!EK24+'Свод '!EM24+'Свод '!FK24+'Свод '!FM24+'Свод '!FO24+'Свод '!FQ24+'Свод '!FS24+'Свод '!FU24+'Свод '!FW24+'Свод '!FY24+'Свод '!GA24+'Свод '!GC24+'Свод '!GE24+'Свод '!GG24+'Свод '!GI24+'Свод '!HG24+'Свод '!HI24+'Свод '!HK24+'Свод '!HM24+'Свод '!HO24+'Свод '!HS24+Лист1!C24+Лист1!E24+Лист1!G24+Лист1!I24+Лист1!K24+Лист1!M24+Лист1!O24+Лист1!Q24+'Свод '!DM24</f>
        <v>2215</v>
      </c>
      <c r="AL24" s="144">
        <f>'Свод '!AF24+'Свод '!AJ24+'Свод '!BB24+'Свод '!CB24+'Свод '!CD24+'Свод '!EN24+'Свод '!FD24+'Свод '!FF24+'Свод '!GJ24+'Свод '!GL24+'Свод '!GN24+'Свод '!GP24+'Свод '!GR24+'Свод '!GT24+'Свод '!GV24+'Свод '!GX24+'Свод '!HT24+'Свод '!HV24</f>
        <v>439</v>
      </c>
      <c r="AM24" s="42">
        <f>'Свод '!AG24+'Свод '!AK24+'Свод '!BC24+'Свод '!CC24+'Свод '!CE24+'Свод '!EO24+'Свод '!FE24+'Свод '!FG24+'Свод '!GK24+'Свод '!GM24+'Свод '!GO24+'Свод '!GQ24+'Свод '!GS24+'Свод '!GU24+'Свод '!GW24+'Свод '!GY24+'Свод '!HU24+'Свод '!HW24</f>
        <v>439</v>
      </c>
      <c r="AN24" s="42">
        <f>'Свод '!J24+'Свод '!L24+'Свод '!N24+'Свод '!P24+'Свод '!R24+'Свод '!T24+'Свод '!V24+'Свод '!X24+'Свод '!Z24+'Свод '!AR24+'Свод '!AT24+'Свод '!AV24+'Свод '!AX24+'Свод '!DD24+'Свод '!EP24+'Свод '!ER24+'Свод '!ET24+'Свод '!EV24+'Свод '!EX24+'Свод '!EZ24+'Свод '!GZ24+'Свод '!HB24+T24+V24+Z24+AB24</f>
        <v>1197.99767</v>
      </c>
      <c r="AO24" s="42">
        <f>'Свод '!K24+'Свод '!M24+'Свод '!O24+'Свод '!Q24+'Свод '!S24+'Свод '!U24+'Свод '!W24+'Свод '!Y24+'Свод '!AA24+'Свод '!AS24+'Свод '!AU24+'Свод '!AW24+'Свод '!AY24+'Свод '!DE24+'Свод '!EQ24+'Свод '!ES24+'Свод '!EU24+'Свод '!EW24+'Свод '!EY24+'Свод '!FA24+'Свод '!HA24+'Свод '!HC24+U24+W24+AA24+AC24</f>
        <v>1195.31895</v>
      </c>
    </row>
    <row r="25" spans="1:41" ht="12.75">
      <c r="A25" s="109" t="s">
        <v>223</v>
      </c>
      <c r="B25" s="104"/>
      <c r="C25" s="42"/>
      <c r="D25" s="40"/>
      <c r="E25" s="40"/>
      <c r="F25" s="43"/>
      <c r="G25" s="46"/>
      <c r="H25" s="40"/>
      <c r="I25" s="40"/>
      <c r="J25" s="110"/>
      <c r="K25" s="42"/>
      <c r="L25" s="40"/>
      <c r="M25" s="40"/>
      <c r="N25" s="40"/>
      <c r="O25" s="40"/>
      <c r="P25" s="40"/>
      <c r="Q25" s="40"/>
      <c r="R25" s="42">
        <f t="shared" si="1"/>
        <v>0</v>
      </c>
      <c r="S25" s="42">
        <f t="shared" si="2"/>
        <v>0</v>
      </c>
      <c r="T25" s="42"/>
      <c r="U25" s="42"/>
      <c r="V25" s="40"/>
      <c r="W25" s="40"/>
      <c r="X25" s="42">
        <f t="shared" si="3"/>
        <v>0</v>
      </c>
      <c r="Y25" s="42">
        <f t="shared" si="4"/>
        <v>0</v>
      </c>
      <c r="Z25" s="42"/>
      <c r="AA25" s="42"/>
      <c r="AB25" s="40"/>
      <c r="AC25" s="40"/>
      <c r="AD25" s="42">
        <f t="shared" si="5"/>
        <v>0</v>
      </c>
      <c r="AE25" s="42">
        <f t="shared" si="6"/>
        <v>0</v>
      </c>
      <c r="AF25" s="42">
        <f>'Свод '!AH25+'Свод '!AZ25+'Свод '!BB25+'Свод '!CF25+'Свод '!DF25+'Свод '!DJ25+'Свод '!DP25+'Свод '!FB25+'Свод '!FH25+'Свод '!HD25+'Свод '!HP25+'Свод '!HX25+Лист1!R25+Лист1!AD25+X25</f>
        <v>15784.240269999998</v>
      </c>
      <c r="AG25" s="42">
        <f>'Свод '!AI25+'Свод '!BA25+'Свод '!BC25+'Свод '!CG25+'Свод '!DG25+'Свод '!DK25+'Свод '!DQ25+'Свод '!FC25+'Свод '!FI25+'Свод '!HE25+'Свод '!HQ25+'Свод '!HY25+Лист1!S25+Лист1!AE25+Y25</f>
        <v>15758.490899999999</v>
      </c>
      <c r="AH25" s="42">
        <f>'Свод '!B25+'Свод '!D25+'Свод '!F25+'Свод '!H25</f>
        <v>5424</v>
      </c>
      <c r="AI25" s="42">
        <f>'Свод '!C25+'Свод '!E25+'Свод '!G25+'Свод '!I25</f>
        <v>5424</v>
      </c>
      <c r="AJ25" s="39">
        <f>'Свод '!AB25+'Свод '!AD25+'Свод '!AL25+'Свод '!AN25+'Свод '!AP25+'Свод '!BD25+'Свод '!BF25+'Свод '!BH25+'Свод '!BJ25+'Свод '!BL25+'Свод '!BN25+'Свод '!BP25+'Свод '!BR25+'Свод '!BT25+'Свод '!BV25+'Свод '!BX25+'Свод '!BZ25+'Свод '!CH25+'Свод '!CJ25+'Свод '!CL25+'Свод '!CN25+'Свод '!CP25+'Свод '!CR25+'Свод '!CT25+'Свод '!CV25+'Свод '!CX25+'Свод '!CZ25+'Свод '!DB25+'Свод '!DH25+'Свод '!DN25+'Свод '!DR25+'Свод '!DT25+'Свод '!DV25+'Свод '!DX25+'Свод '!DZ25+'Свод '!EB25+'Свод '!ED25+'Свод '!EF25+'Свод '!EH25+'Свод '!EJ25+'Свод '!EL25+'Свод '!FJ25+'Свод '!FL25+'Свод '!FN25+'Свод '!FP25+'Свод '!FR25+'Свод '!FT25+'Свод '!FV25+'Свод '!FX25+'Свод '!FZ25+'Свод '!GB25+'Свод '!GD25+'Свод '!GF25+'Свод '!GH25+'Свод '!HF25+'Свод '!HH25+'Свод '!HJ25+'Свод '!HL25+'Свод '!HN25+'Свод '!HR25+Лист1!B25+Лист1!D25+Лист1!F25+Лист1!H25+Лист1!J25+Лист1!L25+Лист1!N25+Лист1!P25+'Свод '!DL25</f>
        <v>9975.201000000001</v>
      </c>
      <c r="AK25" s="39">
        <f>'Свод '!AC25+'Свод '!AE25+'Свод '!AM25+'Свод '!AO25+'Свод '!AQ25+'Свод '!BE25+'Свод '!BG25+'Свод '!BI25+'Свод '!BK25+'Свод '!BM25+'Свод '!BO25+'Свод '!BQ25+'Свод '!BS25+'Свод '!BU25+'Свод '!BW25+'Свод '!BY25+'Свод '!CA25+'Свод '!CI25+'Свод '!CK25+'Свод '!CM25+'Свод '!CO25+'Свод '!CQ25+'Свод '!CS25+'Свод '!CU25+'Свод '!CW25+'Свод '!CY25+'Свод '!DA25+'Свод '!DC25+'Свод '!DI25+'Свод '!DO25+'Свод '!DS25+'Свод '!DU25+'Свод '!DW25+'Свод '!DY25+'Свод '!EA25+'Свод '!EC25+'Свод '!EE25+'Свод '!EG25+'Свод '!EI25+'Свод '!EK25+'Свод '!EM25+'Свод '!FK25+'Свод '!FM25+'Свод '!FO25+'Свод '!FQ25+'Свод '!FS25+'Свод '!FU25+'Свод '!FW25+'Свод '!FY25+'Свод '!GA25+'Свод '!GC25+'Свод '!GE25+'Свод '!GG25+'Свод '!GI25+'Свод '!HG25+'Свод '!HI25+'Свод '!HK25+'Свод '!HM25+'Свод '!HO25+'Свод '!HS25+Лист1!C25+Лист1!E25+Лист1!G25+Лист1!I25+Лист1!K25+Лист1!M25+Лист1!O25+Лист1!Q25+'Свод '!DM25</f>
        <v>9951.501</v>
      </c>
      <c r="AL25" s="144">
        <f>'Свод '!AF25+'Свод '!AJ25+'Свод '!BB25+'Свод '!CB25+'Свод '!CD25+'Свод '!EN25+'Свод '!FD25+'Свод '!FF25+'Свод '!GJ25+'Свод '!GL25+'Свод '!GN25+'Свод '!GP25+'Свод '!GR25+'Свод '!GT25+'Свод '!GV25+'Свод '!GX25+'Свод '!HT25+'Свод '!HV25</f>
        <v>147</v>
      </c>
      <c r="AM25" s="42">
        <f>'Свод '!AG25+'Свод '!AK25+'Свод '!BC25+'Свод '!CC25+'Свод '!CE25+'Свод '!EO25+'Свод '!FE25+'Свод '!FG25+'Свод '!GK25+'Свод '!GM25+'Свод '!GO25+'Свод '!GQ25+'Свод '!GS25+'Свод '!GU25+'Свод '!GW25+'Свод '!GY25+'Свод '!HU25+'Свод '!HW25</f>
        <v>147</v>
      </c>
      <c r="AN25" s="42">
        <f>'Свод '!J25+'Свод '!L25+'Свод '!N25+'Свод '!P25+'Свод '!R25+'Свод '!T25+'Свод '!V25+'Свод '!X25+'Свод '!Z25+'Свод '!AR25+'Свод '!AT25+'Свод '!AV25+'Свод '!AX25+'Свод '!DD25+'Свод '!EP25+'Свод '!ER25+'Свод '!ET25+'Свод '!EV25+'Свод '!EX25+'Свод '!EZ25+'Свод '!GZ25+'Свод '!HB25+T25+V25+Z25+AB25</f>
        <v>238.03927000000002</v>
      </c>
      <c r="AO25" s="42">
        <f>'Свод '!K25+'Свод '!M25+'Свод '!O25+'Свод '!Q25+'Свод '!S25+'Свод '!U25+'Свод '!W25+'Свод '!Y25+'Свод '!AA25+'Свод '!AS25+'Свод '!AU25+'Свод '!AW25+'Свод '!AY25+'Свод '!DE25+'Свод '!EQ25+'Свод '!ES25+'Свод '!EU25+'Свод '!EW25+'Свод '!EY25+'Свод '!FA25+'Свод '!HA25+'Свод '!HC25+U25+W25+AA25+AC25</f>
        <v>235.9899</v>
      </c>
    </row>
    <row r="26" spans="1:41" ht="12.75" customHeight="1">
      <c r="A26" s="109" t="s">
        <v>224</v>
      </c>
      <c r="B26" s="104"/>
      <c r="C26" s="42"/>
      <c r="D26" s="40"/>
      <c r="E26" s="40"/>
      <c r="F26" s="43"/>
      <c r="G26" s="46"/>
      <c r="H26" s="40"/>
      <c r="I26" s="40"/>
      <c r="J26" s="110"/>
      <c r="K26" s="42"/>
      <c r="L26" s="40"/>
      <c r="M26" s="40"/>
      <c r="N26" s="40"/>
      <c r="O26" s="40"/>
      <c r="P26" s="40"/>
      <c r="Q26" s="40"/>
      <c r="R26" s="42">
        <f t="shared" si="1"/>
        <v>0</v>
      </c>
      <c r="S26" s="42">
        <f t="shared" si="2"/>
        <v>0</v>
      </c>
      <c r="T26" s="42"/>
      <c r="U26" s="42"/>
      <c r="V26" s="40"/>
      <c r="W26" s="40"/>
      <c r="X26" s="42">
        <f t="shared" si="3"/>
        <v>0</v>
      </c>
      <c r="Y26" s="42">
        <f t="shared" si="4"/>
        <v>0</v>
      </c>
      <c r="Z26" s="42"/>
      <c r="AA26" s="42"/>
      <c r="AB26" s="40"/>
      <c r="AC26" s="40"/>
      <c r="AD26" s="42">
        <f t="shared" si="5"/>
        <v>0</v>
      </c>
      <c r="AE26" s="42">
        <f t="shared" si="6"/>
        <v>0</v>
      </c>
      <c r="AF26" s="42">
        <f>'Свод '!AH26+'Свод '!AZ26+'Свод '!BB26+'Свод '!CF26+'Свод '!DF26+'Свод '!DJ26+'Свод '!DP26+'Свод '!FB26+'Свод '!FH26+'Свод '!HD26+'Свод '!HP26+'Свод '!HX26+Лист1!R26+Лист1!AD26+X26</f>
        <v>5396.099999999999</v>
      </c>
      <c r="AG26" s="42">
        <f>'Свод '!AI26+'Свод '!BA26+'Свод '!BC26+'Свод '!CG26+'Свод '!DG26+'Свод '!DK26+'Свод '!DQ26+'Свод '!FC26+'Свод '!FI26+'Свод '!HE26+'Свод '!HQ26+'Свод '!HY26+Лист1!S26+Лист1!AE26+Y26</f>
        <v>5386</v>
      </c>
      <c r="AH26" s="42">
        <f>'Свод '!B26+'Свод '!D26+'Свод '!F26+'Свод '!H26</f>
        <v>3671.9999999999995</v>
      </c>
      <c r="AI26" s="42">
        <f>'Свод '!C26+'Свод '!E26+'Свод '!G26+'Свод '!I26</f>
        <v>3671.9999999999995</v>
      </c>
      <c r="AJ26" s="39">
        <f>'Свод '!AB26+'Свод '!AD26+'Свод '!AL26+'Свод '!AN26+'Свод '!AP26+'Свод '!BD26+'Свод '!BF26+'Свод '!BH26+'Свод '!BJ26+'Свод '!BL26+'Свод '!BN26+'Свод '!BP26+'Свод '!BR26+'Свод '!BT26+'Свод '!BV26+'Свод '!BX26+'Свод '!BZ26+'Свод '!CH26+'Свод '!CJ26+'Свод '!CL26+'Свод '!CN26+'Свод '!CP26+'Свод '!CR26+'Свод '!CT26+'Свод '!CV26+'Свод '!CX26+'Свод '!CZ26+'Свод '!DB26+'Свод '!DH26+'Свод '!DN26+'Свод '!DR26+'Свод '!DT26+'Свод '!DV26+'Свод '!DX26+'Свод '!DZ26+'Свод '!EB26+'Свод '!ED26+'Свод '!EF26+'Свод '!EH26+'Свод '!EJ26+'Свод '!EL26+'Свод '!FJ26+'Свод '!FL26+'Свод '!FN26+'Свод '!FP26+'Свод '!FR26+'Свод '!FT26+'Свод '!FV26+'Свод '!FX26+'Свод '!FZ26+'Свод '!GB26+'Свод '!GD26+'Свод '!GF26+'Свод '!GH26+'Свод '!HF26+'Свод '!HH26+'Свод '!HJ26+'Свод '!HL26+'Свод '!HN26+'Свод '!HR26+Лист1!B26+Лист1!D26+Лист1!F26+Лист1!H26+Лист1!J26+Лист1!L26+Лист1!N26+Лист1!P26+'Свод '!DL26</f>
        <v>1644.4</v>
      </c>
      <c r="AK26" s="39">
        <f>'Свод '!AC26+'Свод '!AE26+'Свод '!AM26+'Свод '!AO26+'Свод '!AQ26+'Свод '!BE26+'Свод '!BG26+'Свод '!BI26+'Свод '!BK26+'Свод '!BM26+'Свод '!BO26+'Свод '!BQ26+'Свод '!BS26+'Свод '!BU26+'Свод '!BW26+'Свод '!BY26+'Свод '!CA26+'Свод '!CI26+'Свод '!CK26+'Свод '!CM26+'Свод '!CO26+'Свод '!CQ26+'Свод '!CS26+'Свод '!CU26+'Свод '!CW26+'Свод '!CY26+'Свод '!DA26+'Свод '!DC26+'Свод '!DI26+'Свод '!DO26+'Свод '!DS26+'Свод '!DU26+'Свод '!DW26+'Свод '!DY26+'Свод '!EA26+'Свод '!EC26+'Свод '!EE26+'Свод '!EG26+'Свод '!EI26+'Свод '!EK26+'Свод '!EM26+'Свод '!FK26+'Свод '!FM26+'Свод '!FO26+'Свод '!FQ26+'Свод '!FS26+'Свод '!FU26+'Свод '!FW26+'Свод '!FY26+'Свод '!GA26+'Свод '!GC26+'Свод '!GE26+'Свод '!GG26+'Свод '!GI26+'Свод '!HG26+'Свод '!HI26+'Свод '!HK26+'Свод '!HM26+'Свод '!HO26+'Свод '!HS26+Лист1!C26+Лист1!E26+Лист1!G26+Лист1!I26+Лист1!K26+Лист1!M26+Лист1!O26+Лист1!Q26+'Свод '!DM26</f>
        <v>1634.3000000000002</v>
      </c>
      <c r="AL26" s="144">
        <f>'Свод '!AF26+'Свод '!AJ26+'Свод '!BB26+'Свод '!CB26+'Свод '!CD26+'Свод '!EN26+'Свод '!FD26+'Свод '!FF26+'Свод '!GJ26+'Свод '!GL26+'Свод '!GN26+'Свод '!GP26+'Свод '!GR26+'Свод '!GT26+'Свод '!GV26+'Свод '!GX26+'Свод '!HT26+'Свод '!HV26</f>
        <v>73</v>
      </c>
      <c r="AM26" s="42">
        <f>'Свод '!AG26+'Свод '!AK26+'Свод '!BC26+'Свод '!CC26+'Свод '!CE26+'Свод '!EO26+'Свод '!FE26+'Свод '!FG26+'Свод '!GK26+'Свод '!GM26+'Свод '!GO26+'Свод '!GQ26+'Свод '!GS26+'Свод '!GU26+'Свод '!GW26+'Свод '!GY26+'Свод '!HU26+'Свод '!HW26</f>
        <v>73</v>
      </c>
      <c r="AN26" s="42">
        <f>'Свод '!J26+'Свод '!L26+'Свод '!N26+'Свод '!P26+'Свод '!R26+'Свод '!T26+'Свод '!V26+'Свод '!X26+'Свод '!Z26+'Свод '!AR26+'Свод '!AT26+'Свод '!AV26+'Свод '!AX26+'Свод '!DD26+'Свод '!EP26+'Свод '!ER26+'Свод '!ET26+'Свод '!EV26+'Свод '!EX26+'Свод '!EZ26+'Свод '!GZ26+'Свод '!HB26+T26+V26+Z26+AB26</f>
        <v>6.7</v>
      </c>
      <c r="AO26" s="42">
        <f>'Свод '!K26+'Свод '!M26+'Свод '!O26+'Свод '!Q26+'Свод '!S26+'Свод '!U26+'Свод '!W26+'Свод '!Y26+'Свод '!AA26+'Свод '!AS26+'Свод '!AU26+'Свод '!AW26+'Свод '!AY26+'Свод '!DE26+'Свод '!EQ26+'Свод '!ES26+'Свод '!EU26+'Свод '!EW26+'Свод '!EY26+'Свод '!FA26+'Свод '!HA26+'Свод '!HC26+U26+W26+AA26+AC26</f>
        <v>6.7</v>
      </c>
    </row>
    <row r="27" spans="1:41" ht="12.75">
      <c r="A27" s="109" t="s">
        <v>225</v>
      </c>
      <c r="B27" s="104"/>
      <c r="C27" s="42"/>
      <c r="D27" s="40"/>
      <c r="E27" s="40"/>
      <c r="F27" s="43"/>
      <c r="G27" s="46"/>
      <c r="H27" s="40"/>
      <c r="I27" s="40"/>
      <c r="J27" s="110"/>
      <c r="K27" s="42"/>
      <c r="L27" s="40"/>
      <c r="M27" s="40"/>
      <c r="N27" s="40"/>
      <c r="O27" s="40"/>
      <c r="P27" s="40"/>
      <c r="Q27" s="40"/>
      <c r="R27" s="42">
        <f t="shared" si="1"/>
        <v>0</v>
      </c>
      <c r="S27" s="42">
        <f t="shared" si="2"/>
        <v>0</v>
      </c>
      <c r="T27" s="42"/>
      <c r="U27" s="42"/>
      <c r="V27" s="40"/>
      <c r="W27" s="40"/>
      <c r="X27" s="42">
        <f t="shared" si="3"/>
        <v>0</v>
      </c>
      <c r="Y27" s="42">
        <f t="shared" si="4"/>
        <v>0</v>
      </c>
      <c r="Z27" s="42"/>
      <c r="AA27" s="42"/>
      <c r="AB27" s="40"/>
      <c r="AC27" s="40"/>
      <c r="AD27" s="42">
        <f t="shared" si="5"/>
        <v>0</v>
      </c>
      <c r="AE27" s="42">
        <f t="shared" si="6"/>
        <v>0</v>
      </c>
      <c r="AF27" s="42">
        <f>'Свод '!AH27+'Свод '!AZ27+'Свод '!BB27+'Свод '!CF27+'Свод '!DF27+'Свод '!DJ27+'Свод '!DP27+'Свод '!FB27+'Свод '!FH27+'Свод '!HD27+'Свод '!HP27+'Свод '!HX27+Лист1!R27+Лист1!AD27+X27</f>
        <v>4511.7276</v>
      </c>
      <c r="AG27" s="42">
        <f>'Свод '!AI27+'Свод '!BA27+'Свод '!BC27+'Свод '!CG27+'Свод '!DG27+'Свод '!DK27+'Свод '!DQ27+'Свод '!FC27+'Свод '!FI27+'Свод '!HE27+'Свод '!HQ27+'Свод '!HY27+Лист1!S27+Лист1!AE27+Y27</f>
        <v>4473.03721</v>
      </c>
      <c r="AH27" s="42">
        <f>'Свод '!B27+'Свод '!D27+'Свод '!F27+'Свод '!H27</f>
        <v>3162</v>
      </c>
      <c r="AI27" s="42">
        <f>'Свод '!C27+'Свод '!E27+'Свод '!G27+'Свод '!I27</f>
        <v>3162</v>
      </c>
      <c r="AJ27" s="39">
        <f>'Свод '!AB27+'Свод '!AD27+'Свод '!AL27+'Свод '!AN27+'Свод '!AP27+'Свод '!BD27+'Свод '!BF27+'Свод '!BH27+'Свод '!BJ27+'Свод '!BL27+'Свод '!BN27+'Свод '!BP27+'Свод '!BR27+'Свод '!BT27+'Свод '!BV27+'Свод '!BX27+'Свод '!BZ27+'Свод '!CH27+'Свод '!CJ27+'Свод '!CL27+'Свод '!CN27+'Свод '!CP27+'Свод '!CR27+'Свод '!CT27+'Свод '!CV27+'Свод '!CX27+'Свод '!CZ27+'Свод '!DB27+'Свод '!DH27+'Свод '!DN27+'Свод '!DR27+'Свод '!DT27+'Свод '!DV27+'Свод '!DX27+'Свод '!DZ27+'Свод '!EB27+'Свод '!ED27+'Свод '!EF27+'Свод '!EH27+'Свод '!EJ27+'Свод '!EL27+'Свод '!FJ27+'Свод '!FL27+'Свод '!FN27+'Свод '!FP27+'Свод '!FR27+'Свод '!FT27+'Свод '!FV27+'Свод '!FX27+'Свод '!FZ27+'Свод '!GB27+'Свод '!GD27+'Свод '!GF27+'Свод '!GH27+'Свод '!HF27+'Свод '!HH27+'Свод '!HJ27+'Свод '!HL27+'Свод '!HN27+'Свод '!HR27+Лист1!B27+Лист1!D27+Лист1!F27+Лист1!H27+Лист1!J27+Лист1!L27+Лист1!N27+Лист1!P27+'Свод '!DL27</f>
        <v>1173.7</v>
      </c>
      <c r="AK27" s="39">
        <f>'Свод '!AC27+'Свод '!AE27+'Свод '!AM27+'Свод '!AO27+'Свод '!AQ27+'Свод '!BE27+'Свод '!BG27+'Свод '!BI27+'Свод '!BK27+'Свод '!BM27+'Свод '!BO27+'Свод '!BQ27+'Свод '!BS27+'Свод '!BU27+'Свод '!BW27+'Свод '!BY27+'Свод '!CA27+'Свод '!CI27+'Свод '!CK27+'Свод '!CM27+'Свод '!CO27+'Свод '!CQ27+'Свод '!CS27+'Свод '!CU27+'Свод '!CW27+'Свод '!CY27+'Свод '!DA27+'Свод '!DC27+'Свод '!DI27+'Свод '!DO27+'Свод '!DS27+'Свод '!DU27+'Свод '!DW27+'Свод '!DY27+'Свод '!EA27+'Свод '!EC27+'Свод '!EE27+'Свод '!EG27+'Свод '!EI27+'Свод '!EK27+'Свод '!EM27+'Свод '!FK27+'Свод '!FM27+'Свод '!FO27+'Свод '!FQ27+'Свод '!FS27+'Свод '!FU27+'Свод '!FW27+'Свод '!FY27+'Свод '!GA27+'Свод '!GC27+'Свод '!GE27+'Свод '!GG27+'Свод '!GI27+'Свод '!HG27+'Свод '!HI27+'Свод '!HK27+'Свод '!HM27+'Свод '!HO27+'Свод '!HS27+Лист1!C27+Лист1!E27+Лист1!G27+Лист1!I27+Лист1!K27+Лист1!M27+Лист1!O27+Лист1!Q27+'Свод '!DM27</f>
        <v>1159.2</v>
      </c>
      <c r="AL27" s="144">
        <f>'Свод '!AF27+'Свод '!AJ27+'Свод '!BB27+'Свод '!CB27+'Свод '!CD27+'Свод '!EN27+'Свод '!FD27+'Свод '!FF27+'Свод '!GJ27+'Свод '!GL27+'Свод '!GN27+'Свод '!GP27+'Свод '!GR27+'Свод '!GT27+'Свод '!GV27+'Свод '!GX27+'Свод '!HT27+'Свод '!HV27</f>
        <v>147</v>
      </c>
      <c r="AM27" s="42">
        <f>'Свод '!AG27+'Свод '!AK27+'Свод '!BC27+'Свод '!CC27+'Свод '!CE27+'Свод '!EO27+'Свод '!FE27+'Свод '!FG27+'Свод '!GK27+'Свод '!GM27+'Свод '!GO27+'Свод '!GQ27+'Свод '!GS27+'Свод '!GU27+'Свод '!GW27+'Свод '!GY27+'Свод '!HU27+'Свод '!HW27</f>
        <v>122.80961</v>
      </c>
      <c r="AN27" s="42">
        <f>'Свод '!J27+'Свод '!L27+'Свод '!N27+'Свод '!P27+'Свод '!R27+'Свод '!T27+'Свод '!V27+'Свод '!X27+'Свод '!Z27+'Свод '!AR27+'Свод '!AT27+'Свод '!AV27+'Свод '!AX27+'Свод '!DD27+'Свод '!EP27+'Свод '!ER27+'Свод '!ET27+'Свод '!EV27+'Свод '!EX27+'Свод '!EZ27+'Свод '!GZ27+'Свод '!HB27+T27+V27+Z27+AB27</f>
        <v>29.0276</v>
      </c>
      <c r="AO27" s="42">
        <f>'Свод '!K27+'Свод '!M27+'Свод '!O27+'Свод '!Q27+'Свод '!S27+'Свод '!U27+'Свод '!W27+'Свод '!Y27+'Свод '!AA27+'Свод '!AS27+'Свод '!AU27+'Свод '!AW27+'Свод '!AY27+'Свод '!DE27+'Свод '!EQ27+'Свод '!ES27+'Свод '!EU27+'Свод '!EW27+'Свод '!EY27+'Свод '!FA27+'Свод '!HA27+'Свод '!HC27+U27+W27+AA27+AC27</f>
        <v>29.0276</v>
      </c>
    </row>
    <row r="28" spans="1:41" ht="12.75" customHeight="1">
      <c r="A28" s="109" t="s">
        <v>226</v>
      </c>
      <c r="B28" s="104"/>
      <c r="C28" s="42"/>
      <c r="D28" s="40"/>
      <c r="E28" s="40"/>
      <c r="F28" s="43"/>
      <c r="G28" s="46"/>
      <c r="H28" s="40"/>
      <c r="I28" s="40"/>
      <c r="J28" s="110"/>
      <c r="K28" s="42"/>
      <c r="L28" s="40"/>
      <c r="M28" s="40"/>
      <c r="N28" s="40"/>
      <c r="O28" s="40"/>
      <c r="P28" s="40"/>
      <c r="Q28" s="40"/>
      <c r="R28" s="42">
        <f t="shared" si="1"/>
        <v>0</v>
      </c>
      <c r="S28" s="42">
        <f t="shared" si="2"/>
        <v>0</v>
      </c>
      <c r="T28" s="42"/>
      <c r="U28" s="42"/>
      <c r="V28" s="40"/>
      <c r="W28" s="40"/>
      <c r="X28" s="42">
        <f t="shared" si="3"/>
        <v>0</v>
      </c>
      <c r="Y28" s="42">
        <f t="shared" si="4"/>
        <v>0</v>
      </c>
      <c r="Z28" s="42"/>
      <c r="AA28" s="42"/>
      <c r="AB28" s="40"/>
      <c r="AC28" s="40"/>
      <c r="AD28" s="42">
        <f t="shared" si="5"/>
        <v>0</v>
      </c>
      <c r="AE28" s="42">
        <f t="shared" si="6"/>
        <v>0</v>
      </c>
      <c r="AF28" s="42">
        <f>'Свод '!AH28+'Свод '!AZ28+'Свод '!BB28+'Свод '!CF28+'Свод '!DF28+'Свод '!DJ28+'Свод '!DP28+'Свод '!FB28+'Свод '!FH28+'Свод '!HD28+'Свод '!HP28+'Свод '!HX28+Лист1!R28+Лист1!AD28+X28</f>
        <v>7637.77348</v>
      </c>
      <c r="AG28" s="42">
        <f>'Свод '!AI28+'Свод '!BA28+'Свод '!BC28+'Свод '!CG28+'Свод '!DG28+'Свод '!DK28+'Свод '!DQ28+'Свод '!FC28+'Свод '!FI28+'Свод '!HE28+'Свод '!HQ28+'Свод '!HY28+Лист1!S28+Лист1!AE28+Y28</f>
        <v>7545.978349999999</v>
      </c>
      <c r="AH28" s="42">
        <f>'Свод '!B28+'Свод '!D28+'Свод '!F28+'Свод '!H28</f>
        <v>3600</v>
      </c>
      <c r="AI28" s="42">
        <f>'Свод '!C28+'Свод '!E28+'Свод '!G28+'Свод '!I28</f>
        <v>3600</v>
      </c>
      <c r="AJ28" s="39">
        <f>'Свод '!AB28+'Свод '!AD28+'Свод '!AL28+'Свод '!AN28+'Свод '!AP28+'Свод '!BD28+'Свод '!BF28+'Свод '!BH28+'Свод '!BJ28+'Свод '!BL28+'Свод '!BN28+'Свод '!BP28+'Свод '!BR28+'Свод '!BT28+'Свод '!BV28+'Свод '!BX28+'Свод '!BZ28+'Свод '!CH28+'Свод '!CJ28+'Свод '!CL28+'Свод '!CN28+'Свод '!CP28+'Свод '!CR28+'Свод '!CT28+'Свод '!CV28+'Свод '!CX28+'Свод '!CZ28+'Свод '!DB28+'Свод '!DH28+'Свод '!DN28+'Свод '!DR28+'Свод '!DT28+'Свод '!DV28+'Свод '!DX28+'Свод '!DZ28+'Свод '!EB28+'Свод '!ED28+'Свод '!EF28+'Свод '!EH28+'Свод '!EJ28+'Свод '!EL28+'Свод '!FJ28+'Свод '!FL28+'Свод '!FN28+'Свод '!FP28+'Свод '!FR28+'Свод '!FT28+'Свод '!FV28+'Свод '!FX28+'Свод '!FZ28+'Свод '!GB28+'Свод '!GD28+'Свод '!GF28+'Свод '!GH28+'Свод '!HF28+'Свод '!HH28+'Свод '!HJ28+'Свод '!HL28+'Свод '!HN28+'Свод '!HR28+Лист1!B28+Лист1!D28+Лист1!F28+Лист1!H28+Лист1!J28+Лист1!L28+Лист1!N28+Лист1!P28+'Свод '!DL28</f>
        <v>3714</v>
      </c>
      <c r="AK28" s="39">
        <f>'Свод '!AC28+'Свод '!AE28+'Свод '!AM28+'Свод '!AO28+'Свод '!AQ28+'Свод '!BE28+'Свод '!BG28+'Свод '!BI28+'Свод '!BK28+'Свод '!BM28+'Свод '!BO28+'Свод '!BQ28+'Свод '!BS28+'Свод '!BU28+'Свод '!BW28+'Свод '!BY28+'Свод '!CA28+'Свод '!CI28+'Свод '!CK28+'Свод '!CM28+'Свод '!CO28+'Свод '!CQ28+'Свод '!CS28+'Свод '!CU28+'Свод '!CW28+'Свод '!CY28+'Свод '!DA28+'Свод '!DC28+'Свод '!DI28+'Свод '!DO28+'Свод '!DS28+'Свод '!DU28+'Свод '!DW28+'Свод '!DY28+'Свод '!EA28+'Свод '!EC28+'Свод '!EE28+'Свод '!EG28+'Свод '!EI28+'Свод '!EK28+'Свод '!EM28+'Свод '!FK28+'Свод '!FM28+'Свод '!FO28+'Свод '!FQ28+'Свод '!FS28+'Свод '!FU28+'Свод '!FW28+'Свод '!FY28+'Свод '!GA28+'Свод '!GC28+'Свод '!GE28+'Свод '!GG28+'Свод '!GI28+'Свод '!HG28+'Свод '!HI28+'Свод '!HK28+'Свод '!HM28+'Свод '!HO28+'Свод '!HS28+Лист1!C28+Лист1!E28+Лист1!G28+Лист1!I28+Лист1!K28+Лист1!M28+Лист1!O28+Лист1!Q28+'Свод '!DM28</f>
        <v>3659</v>
      </c>
      <c r="AL28" s="144">
        <f>'Свод '!AF28+'Свод '!AJ28+'Свод '!BB28+'Свод '!CB28+'Свод '!CD28+'Свод '!EN28+'Свод '!FD28+'Свод '!FF28+'Свод '!GJ28+'Свод '!GL28+'Свод '!GN28+'Свод '!GP28+'Свод '!GR28+'Свод '!GT28+'Свод '!GV28+'Свод '!GX28+'Свод '!HT28+'Свод '!HV28</f>
        <v>147</v>
      </c>
      <c r="AM28" s="42">
        <f>'Свод '!AG28+'Свод '!AK28+'Свод '!BC28+'Свод '!CC28+'Свод '!CE28+'Свод '!EO28+'Свод '!FE28+'Свод '!FG28+'Свод '!GK28+'Свод '!GM28+'Свод '!GO28+'Свод '!GQ28+'Свод '!GS28+'Свод '!GU28+'Свод '!GW28+'Свод '!GY28+'Свод '!HU28+'Свод '!HW28</f>
        <v>147</v>
      </c>
      <c r="AN28" s="42">
        <f>'Свод '!J28+'Свод '!L28+'Свод '!N28+'Свод '!P28+'Свод '!R28+'Свод '!T28+'Свод '!V28+'Свод '!X28+'Свод '!Z28+'Свод '!AR28+'Свод '!AT28+'Свод '!AV28+'Свод '!AX28+'Свод '!DD28+'Свод '!EP28+'Свод '!ER28+'Свод '!ET28+'Свод '!EV28+'Свод '!EX28+'Свод '!EZ28+'Свод '!GZ28+'Свод '!HB28+T28+V28+Z28+AB28</f>
        <v>176.77348</v>
      </c>
      <c r="AO28" s="42">
        <f>'Свод '!K28+'Свод '!M28+'Свод '!O28+'Свод '!Q28+'Свод '!S28+'Свод '!U28+'Свод '!W28+'Свод '!Y28+'Свод '!AA28+'Свод '!AS28+'Свод '!AU28+'Свод '!AW28+'Свод '!AY28+'Свод '!DE28+'Свод '!EQ28+'Свод '!ES28+'Свод '!EU28+'Свод '!EW28+'Свод '!EY28+'Свод '!FA28+'Свод '!HA28+'Свод '!HC28+U28+W28+AA28+AC28</f>
        <v>139.97834999999998</v>
      </c>
    </row>
    <row r="29" spans="1:41" ht="12.75">
      <c r="A29" s="108" t="s">
        <v>147</v>
      </c>
      <c r="B29" s="104">
        <v>0</v>
      </c>
      <c r="C29" s="42">
        <v>0</v>
      </c>
      <c r="D29" s="40">
        <f>SUM(D30:D37)</f>
        <v>0</v>
      </c>
      <c r="E29" s="40">
        <f>SUM(E30:E37)</f>
        <v>0</v>
      </c>
      <c r="F29" s="43">
        <v>2719</v>
      </c>
      <c r="G29" s="46">
        <v>2679.6072999999997</v>
      </c>
      <c r="H29" s="40">
        <f>SUM(H30:H37)</f>
        <v>0</v>
      </c>
      <c r="I29" s="40">
        <f>SUM(I30:I37)</f>
        <v>0</v>
      </c>
      <c r="J29" s="104">
        <v>0</v>
      </c>
      <c r="K29" s="42">
        <v>0</v>
      </c>
      <c r="L29" s="47">
        <v>0</v>
      </c>
      <c r="M29" s="47">
        <v>0</v>
      </c>
      <c r="N29" s="47">
        <f>SUM(N30:N37)</f>
        <v>0</v>
      </c>
      <c r="O29" s="47">
        <f>SUM(O30:O37)</f>
        <v>0</v>
      </c>
      <c r="P29" s="47">
        <f>SUM(P30:P37)</f>
        <v>0</v>
      </c>
      <c r="Q29" s="47">
        <f>SUM(Q30:Q37)</f>
        <v>0</v>
      </c>
      <c r="R29" s="42">
        <f t="shared" si="1"/>
        <v>2719</v>
      </c>
      <c r="S29" s="42">
        <f t="shared" si="2"/>
        <v>2679.6072999999997</v>
      </c>
      <c r="T29" s="42">
        <v>389.5</v>
      </c>
      <c r="U29" s="42">
        <v>389.5</v>
      </c>
      <c r="V29" s="40">
        <v>20.5</v>
      </c>
      <c r="W29" s="40">
        <v>20.5</v>
      </c>
      <c r="X29" s="42">
        <f t="shared" si="3"/>
        <v>410</v>
      </c>
      <c r="Y29" s="42">
        <f t="shared" si="4"/>
        <v>410</v>
      </c>
      <c r="Z29" s="42">
        <v>324.8</v>
      </c>
      <c r="AA29" s="42">
        <v>324.8</v>
      </c>
      <c r="AB29" s="40">
        <v>0</v>
      </c>
      <c r="AC29" s="40">
        <v>0</v>
      </c>
      <c r="AD29" s="42">
        <f t="shared" si="5"/>
        <v>324.8</v>
      </c>
      <c r="AE29" s="42">
        <f t="shared" si="6"/>
        <v>324.8</v>
      </c>
      <c r="AF29" s="42">
        <f>'Свод '!AH29+'Свод '!AZ29+'Свод '!BB29+'Свод '!CF29+'Свод '!DF29+'Свод '!DJ29+'Свод '!DP29+'Свод '!FB29+'Свод '!FH29+'Свод '!HD29+'Свод '!HP29+'Свод '!HX29+Лист1!R29+Лист1!AD29+X29</f>
        <v>821348.9883300001</v>
      </c>
      <c r="AG29" s="42">
        <f>'Свод '!AI29+'Свод '!BA29+'Свод '!BC29+'Свод '!CG29+'Свод '!DG29+'Свод '!DK29+'Свод '!DQ29+'Свод '!FC29+'Свод '!FI29+'Свод '!HE29+'Свод '!HQ29+'Свод '!HY29+Лист1!S29+Лист1!AE29+Y29</f>
        <v>816987.31847</v>
      </c>
      <c r="AH29" s="42">
        <f>'Свод '!B29+'Свод '!D29+'Свод '!F29+'Свод '!H29</f>
        <v>246265</v>
      </c>
      <c r="AI29" s="42">
        <f>'Свод '!C29+'Свод '!E29+'Свод '!G29+'Свод '!I29</f>
        <v>246265</v>
      </c>
      <c r="AJ29" s="39">
        <f>'Свод '!AB29+'Свод '!AD29+'Свод '!AL29+'Свод '!AN29+'Свод '!AP29+'Свод '!BD29+'Свод '!BF29+'Свод '!BH29+'Свод '!BJ29+'Свод '!BL29+'Свод '!BN29+'Свод '!BP29+'Свод '!BR29+'Свод '!BT29+'Свод '!BV29+'Свод '!BX29+'Свод '!BZ29+'Свод '!CH29+'Свод '!CJ29+'Свод '!CL29+'Свод '!CN29+'Свод '!CP29+'Свод '!CR29+'Свод '!CT29+'Свод '!CV29+'Свод '!CX29+'Свод '!CZ29+'Свод '!DB29+'Свод '!DH29+'Свод '!DN29+'Свод '!DR29+'Свод '!DT29+'Свод '!DV29+'Свод '!DX29+'Свод '!DZ29+'Свод '!EB29+'Свод '!ED29+'Свод '!EF29+'Свод '!EH29+'Свод '!EJ29+'Свод '!EL29+'Свод '!FJ29+'Свод '!FL29+'Свод '!FN29+'Свод '!FP29+'Свод '!FR29+'Свод '!FT29+'Свод '!FV29+'Свод '!FX29+'Свод '!FZ29+'Свод '!GB29+'Свод '!GD29+'Свод '!GF29+'Свод '!GH29+'Свод '!HF29+'Свод '!HH29+'Свод '!HJ29+'Свод '!HL29+'Свод '!HN29+'Свод '!HR29+Лист1!B29+Лист1!D29+Лист1!F29+Лист1!H29+Лист1!J29+Лист1!L29+Лист1!N29+Лист1!P29+'Свод '!DL29</f>
        <v>131339.73779999997</v>
      </c>
      <c r="AK29" s="39">
        <f>'Свод '!AC29+'Свод '!AE29+'Свод '!AM29+'Свод '!AO29+'Свод '!AQ29+'Свод '!BE29+'Свод '!BG29+'Свод '!BI29+'Свод '!BK29+'Свод '!BM29+'Свод '!BO29+'Свод '!BQ29+'Свод '!BS29+'Свод '!BU29+'Свод '!BW29+'Свод '!BY29+'Свод '!CA29+'Свод '!CI29+'Свод '!CK29+'Свод '!CM29+'Свод '!CO29+'Свод '!CQ29+'Свод '!CS29+'Свод '!CU29+'Свод '!CW29+'Свод '!CY29+'Свод '!DA29+'Свод '!DC29+'Свод '!DI29+'Свод '!DO29+'Свод '!DS29+'Свод '!DU29+'Свод '!DW29+'Свод '!DY29+'Свод '!EA29+'Свод '!EC29+'Свод '!EE29+'Свод '!EG29+'Свод '!EI29+'Свод '!EK29+'Свод '!EM29+'Свод '!FK29+'Свод '!FM29+'Свод '!FO29+'Свод '!FQ29+'Свод '!FS29+'Свод '!FU29+'Свод '!FW29+'Свод '!FY29+'Свод '!GA29+'Свод '!GC29+'Свод '!GE29+'Свод '!GG29+'Свод '!GI29+'Свод '!HG29+'Свод '!HI29+'Свод '!HK29+'Свод '!HM29+'Свод '!HO29+'Свод '!HS29+Лист1!C29+Лист1!E29+Лист1!G29+Лист1!I29+Лист1!K29+Лист1!M29+Лист1!O29+Лист1!Q29+'Свод '!DM29</f>
        <v>127022.42962999997</v>
      </c>
      <c r="AL29" s="144">
        <f>'Свод '!AF29+'Свод '!AJ29+'Свод '!BB29+'Свод '!CB29+'Свод '!CD29+'Свод '!EN29+'Свод '!FD29+'Свод '!FF29+'Свод '!GJ29+'Свод '!GL29+'Свод '!GN29+'Свод '!GP29+'Свод '!GR29+'Свод '!GT29+'Свод '!GV29+'Свод '!GX29+'Свод '!HT29+'Свод '!HV29</f>
        <v>409024.42199999996</v>
      </c>
      <c r="AM29" s="42">
        <f>'Свод '!AG29+'Свод '!AK29+'Свод '!BC29+'Свод '!CC29+'Свод '!CE29+'Свод '!EO29+'Свод '!FE29+'Свод '!FG29+'Свод '!GK29+'Свод '!GM29+'Свод '!GO29+'Свод '!GQ29+'Свод '!GS29+'Свод '!GU29+'Свод '!GW29+'Свод '!GY29+'Свод '!HU29+'Свод '!HW29</f>
        <v>408990.42199999996</v>
      </c>
      <c r="AN29" s="42">
        <f>'Свод '!J29+'Свод '!L29+'Свод '!N29+'Свод '!P29+'Свод '!R29+'Свод '!T29+'Свод '!V29+'Свод '!X29+'Свод '!Z29+'Свод '!AR29+'Свод '!AT29+'Свод '!AV29+'Свод '!AX29+'Свод '!DD29+'Свод '!EP29+'Свод '!ER29+'Свод '!ET29+'Свод '!EV29+'Свод '!EX29+'Свод '!EZ29+'Свод '!GZ29+'Свод '!HB29+T29+V29+Z29+AB29</f>
        <v>34719.828530000006</v>
      </c>
      <c r="AO29" s="42">
        <f>'Свод '!K29+'Свод '!M29+'Свод '!O29+'Свод '!Q29+'Свод '!S29+'Свод '!U29+'Свод '!W29+'Свод '!Y29+'Свод '!AA29+'Свод '!AS29+'Свод '!AU29+'Свод '!AW29+'Свод '!AY29+'Свод '!DE29+'Свод '!EQ29+'Свод '!ES29+'Свод '!EU29+'Свод '!EW29+'Свод '!EY29+'Свод '!FA29+'Свод '!HA29+'Свод '!HC29+U29+W29+AA29+AC29</f>
        <v>34709.46684000001</v>
      </c>
    </row>
    <row r="30" spans="1:41" ht="12.75" customHeight="1">
      <c r="A30" s="103" t="s">
        <v>156</v>
      </c>
      <c r="B30" s="104"/>
      <c r="C30" s="42"/>
      <c r="D30" s="40"/>
      <c r="E30" s="40"/>
      <c r="F30" s="43">
        <v>111</v>
      </c>
      <c r="G30" s="42">
        <v>100.6005</v>
      </c>
      <c r="H30" s="40"/>
      <c r="I30" s="40"/>
      <c r="J30" s="105"/>
      <c r="K30" s="42"/>
      <c r="L30" s="40"/>
      <c r="M30" s="40"/>
      <c r="N30" s="40"/>
      <c r="O30" s="40"/>
      <c r="P30" s="40"/>
      <c r="Q30" s="40"/>
      <c r="R30" s="42">
        <f t="shared" si="1"/>
        <v>111</v>
      </c>
      <c r="S30" s="42">
        <f t="shared" si="2"/>
        <v>100.6005</v>
      </c>
      <c r="T30" s="42">
        <v>389.5</v>
      </c>
      <c r="U30" s="42">
        <v>389.5</v>
      </c>
      <c r="V30" s="40">
        <v>20.5</v>
      </c>
      <c r="W30" s="40">
        <v>20.5</v>
      </c>
      <c r="X30" s="42">
        <f t="shared" si="3"/>
        <v>410</v>
      </c>
      <c r="Y30" s="42">
        <f t="shared" si="4"/>
        <v>410</v>
      </c>
      <c r="Z30" s="42">
        <v>324.8</v>
      </c>
      <c r="AA30" s="42">
        <v>324.8</v>
      </c>
      <c r="AB30" s="40"/>
      <c r="AC30" s="40"/>
      <c r="AD30" s="42">
        <f t="shared" si="5"/>
        <v>324.8</v>
      </c>
      <c r="AE30" s="42">
        <f t="shared" si="6"/>
        <v>324.8</v>
      </c>
      <c r="AF30" s="42">
        <f>'Свод '!AH30+'Свод '!AZ30+'Свод '!BB30+'Свод '!CF30+'Свод '!DF30+'Свод '!DJ30+'Свод '!DP30+'Свод '!FB30+'Свод '!FH30+'Свод '!HD30+'Свод '!HP30+'Свод '!HX30+Лист1!R30+Лист1!AD30+X30</f>
        <v>763332.2805100001</v>
      </c>
      <c r="AG30" s="42">
        <f>'Свод '!AI30+'Свод '!BA30+'Свод '!BC30+'Свод '!CG30+'Свод '!DG30+'Свод '!DK30+'Свод '!DQ30+'Свод '!FC30+'Свод '!FI30+'Свод '!HE30+'Свод '!HQ30+'Свод '!HY30+Лист1!S30+Лист1!AE30+Y30</f>
        <v>760064.3635399999</v>
      </c>
      <c r="AH30" s="42">
        <f>'Свод '!B30+'Свод '!D30+'Свод '!F30+'Свод '!H30</f>
        <v>216452</v>
      </c>
      <c r="AI30" s="42">
        <f>'Свод '!C30+'Свод '!E30+'Свод '!G30+'Свод '!I30</f>
        <v>216452</v>
      </c>
      <c r="AJ30" s="39">
        <f>'Свод '!AB30+'Свод '!AD30+'Свод '!AL30+'Свод '!AN30+'Свод '!AP30+'Свод '!BD30+'Свод '!BF30+'Свод '!BH30+'Свод '!BJ30+'Свод '!BL30+'Свод '!BN30+'Свод '!BP30+'Свод '!BR30+'Свод '!BT30+'Свод '!BV30+'Свод '!BX30+'Свод '!BZ30+'Свод '!CH30+'Свод '!CJ30+'Свод '!CL30+'Свод '!CN30+'Свод '!CP30+'Свод '!CR30+'Свод '!CT30+'Свод '!CV30+'Свод '!CX30+'Свод '!CZ30+'Свод '!DB30+'Свод '!DH30+'Свод '!DN30+'Свод '!DR30+'Свод '!DT30+'Свод '!DV30+'Свод '!DX30+'Свод '!DZ30+'Свод '!EB30+'Свод '!ED30+'Свод '!EF30+'Свод '!EH30+'Свод '!EJ30+'Свод '!EL30+'Свод '!FJ30+'Свод '!FL30+'Свод '!FN30+'Свод '!FP30+'Свод '!FR30+'Свод '!FT30+'Свод '!FV30+'Свод '!FX30+'Свод '!FZ30+'Свод '!GB30+'Свод '!GD30+'Свод '!GF30+'Свод '!GH30+'Свод '!HF30+'Свод '!HH30+'Свод '!HJ30+'Свод '!HL30+'Свод '!HN30+'Свод '!HR30+Лист1!B30+Лист1!D30+Лист1!F30+Лист1!H30+Лист1!J30+Лист1!L30+Лист1!N30+Лист1!P30+'Свод '!DL30</f>
        <v>119688.17850999997</v>
      </c>
      <c r="AK30" s="39">
        <f>'Свод '!AC30+'Свод '!AE30+'Свод '!AM30+'Свод '!AO30+'Свод '!AQ30+'Свод '!BE30+'Свод '!BG30+'Свод '!BI30+'Свод '!BK30+'Свод '!BM30+'Свод '!BO30+'Свод '!BQ30+'Свод '!BS30+'Свод '!BU30+'Свод '!BW30+'Свод '!BY30+'Свод '!CA30+'Свод '!CI30+'Свод '!CK30+'Свод '!CM30+'Свод '!CO30+'Свод '!CQ30+'Свод '!CS30+'Свод '!CU30+'Свод '!CW30+'Свод '!CY30+'Свод '!DA30+'Свод '!DC30+'Свод '!DI30+'Свод '!DO30+'Свод '!DS30+'Свод '!DU30+'Свод '!DW30+'Свод '!DY30+'Свод '!EA30+'Свод '!EC30+'Свод '!EE30+'Свод '!EG30+'Свод '!EI30+'Свод '!EK30+'Свод '!EM30+'Свод '!FK30+'Свод '!FM30+'Свод '!FO30+'Свод '!FQ30+'Свод '!FS30+'Свод '!FU30+'Свод '!FW30+'Свод '!FY30+'Свод '!GA30+'Свод '!GC30+'Свод '!GE30+'Свод '!GG30+'Свод '!GI30+'Свод '!HG30+'Свод '!HI30+'Свод '!HK30+'Свод '!HM30+'Свод '!HO30+'Свод '!HS30+Лист1!C30+Лист1!E30+Лист1!G30+Лист1!I30+Лист1!K30+Лист1!M30+Лист1!O30+Лист1!Q30+'Свод '!DM30</f>
        <v>116454.26153999998</v>
      </c>
      <c r="AL30" s="144">
        <f>'Свод '!AF30+'Свод '!AJ30+'Свод '!BB30+'Свод '!CB30+'Свод '!CD30+'Свод '!EN30+'Свод '!FD30+'Свод '!FF30+'Свод '!GJ30+'Свод '!GL30+'Свод '!GN30+'Свод '!GP30+'Свод '!GR30+'Свод '!GT30+'Свод '!GV30+'Свод '!GX30+'Свод '!HT30+'Свод '!HV30</f>
        <v>407924.42199999996</v>
      </c>
      <c r="AM30" s="42">
        <f>'Свод '!AG30+'Свод '!AK30+'Свод '!BC30+'Свод '!CC30+'Свод '!CE30+'Свод '!EO30+'Свод '!FE30+'Свод '!FG30+'Свод '!GK30+'Свод '!GM30+'Свод '!GO30+'Свод '!GQ30+'Свод '!GS30+'Свод '!GU30+'Свод '!GW30+'Свод '!GY30+'Свод '!HU30+'Свод '!HW30</f>
        <v>407890.42199999996</v>
      </c>
      <c r="AN30" s="42">
        <f>'Свод '!J30+'Свод '!L30+'Свод '!N30+'Свод '!P30+'Свод '!R30+'Свод '!T30+'Свод '!V30+'Свод '!X30+'Свод '!Z30+'Свод '!AR30+'Свод '!AT30+'Свод '!AV30+'Свод '!AX30+'Свод '!DD30+'Свод '!EP30+'Свод '!ER30+'Свод '!ET30+'Свод '!EV30+'Свод '!EX30+'Свод '!EZ30+'Свод '!GZ30+'Свод '!HB30+T30+V30+Z30+AB30</f>
        <v>19267.68</v>
      </c>
      <c r="AO30" s="42">
        <f>'Свод '!K30+'Свод '!M30+'Свод '!O30+'Свод '!Q30+'Свод '!S30+'Свод '!U30+'Свод '!W30+'Свод '!Y30+'Свод '!AA30+'Свод '!AS30+'Свод '!AU30+'Свод '!AW30+'Свод '!AY30+'Свод '!DE30+'Свод '!EQ30+'Свод '!ES30+'Свод '!EU30+'Свод '!EW30+'Свод '!EY30+'Свод '!FA30+'Свод '!HA30+'Свод '!HC30+U30+W30+AA30+AC30</f>
        <v>19267.68</v>
      </c>
    </row>
    <row r="31" spans="1:41" ht="12.75">
      <c r="A31" s="109" t="s">
        <v>161</v>
      </c>
      <c r="B31" s="104"/>
      <c r="C31" s="42"/>
      <c r="D31" s="40"/>
      <c r="E31" s="40"/>
      <c r="F31" s="43">
        <v>2608</v>
      </c>
      <c r="G31" s="42">
        <v>2579.0067999999997</v>
      </c>
      <c r="H31" s="40"/>
      <c r="I31" s="40"/>
      <c r="J31" s="110"/>
      <c r="K31" s="42"/>
      <c r="L31" s="40"/>
      <c r="M31" s="40"/>
      <c r="N31" s="40"/>
      <c r="O31" s="40"/>
      <c r="P31" s="40"/>
      <c r="Q31" s="40"/>
      <c r="R31" s="42">
        <f t="shared" si="1"/>
        <v>2608</v>
      </c>
      <c r="S31" s="42">
        <f t="shared" si="2"/>
        <v>2579.0067999999997</v>
      </c>
      <c r="T31" s="42"/>
      <c r="U31" s="42"/>
      <c r="V31" s="40"/>
      <c r="W31" s="40"/>
      <c r="X31" s="42">
        <f t="shared" si="3"/>
        <v>0</v>
      </c>
      <c r="Y31" s="42">
        <f t="shared" si="4"/>
        <v>0</v>
      </c>
      <c r="Z31" s="42"/>
      <c r="AA31" s="42"/>
      <c r="AB31" s="40"/>
      <c r="AC31" s="40"/>
      <c r="AD31" s="42">
        <f t="shared" si="5"/>
        <v>0</v>
      </c>
      <c r="AE31" s="42">
        <f t="shared" si="6"/>
        <v>0</v>
      </c>
      <c r="AF31" s="42">
        <f>'Свод '!AH31+'Свод '!AZ31+'Свод '!BB31+'Свод '!CF31+'Свод '!DF31+'Свод '!DJ31+'Свод '!DP31+'Свод '!FB31+'Свод '!FH31+'Свод '!HD31+'Свод '!HP31+'Свод '!HX31+Лист1!R31+Лист1!AD31+X31</f>
        <v>28838.16253</v>
      </c>
      <c r="AG31" s="42">
        <f>'Свод '!AI31+'Свод '!BA31+'Свод '!BC31+'Свод '!CG31+'Свод '!DG31+'Свод '!DK31+'Свод '!DQ31+'Свод '!FC31+'Свод '!FI31+'Свод '!HE31+'Свод '!HQ31+'Свод '!HY31+Лист1!S31+Лист1!AE31+Y31</f>
        <v>28163.249580000003</v>
      </c>
      <c r="AH31" s="42">
        <f>'Свод '!B31+'Свод '!D31+'Свод '!F31+'Свод '!H31</f>
        <v>10285.000000000002</v>
      </c>
      <c r="AI31" s="42">
        <f>'Свод '!C31+'Свод '!E31+'Свод '!G31+'Свод '!I31</f>
        <v>10285.000000000002</v>
      </c>
      <c r="AJ31" s="39">
        <f>'Свод '!AB31+'Свод '!AD31+'Свод '!AL31+'Свод '!AN31+'Свод '!AP31+'Свод '!BD31+'Свод '!BF31+'Свод '!BH31+'Свод '!BJ31+'Свод '!BL31+'Свод '!BN31+'Свод '!BP31+'Свод '!BR31+'Свод '!BT31+'Свод '!BV31+'Свод '!BX31+'Свод '!BZ31+'Свод '!CH31+'Свод '!CJ31+'Свод '!CL31+'Свод '!CN31+'Свод '!CP31+'Свод '!CR31+'Свод '!CT31+'Свод '!CV31+'Свод '!CX31+'Свод '!CZ31+'Свод '!DB31+'Свод '!DH31+'Свод '!DN31+'Свод '!DR31+'Свод '!DT31+'Свод '!DV31+'Свод '!DX31+'Свод '!DZ31+'Свод '!EB31+'Свод '!ED31+'Свод '!EF31+'Свод '!EH31+'Свод '!EJ31+'Свод '!EL31+'Свод '!FJ31+'Свод '!FL31+'Свод '!FN31+'Свод '!FP31+'Свод '!FR31+'Свод '!FT31+'Свод '!FV31+'Свод '!FX31+'Свод '!FZ31+'Свод '!GB31+'Свод '!GD31+'Свод '!GF31+'Свод '!GH31+'Свод '!HF31+'Свод '!HH31+'Свод '!HJ31+'Свод '!HL31+'Свод '!HN31+'Свод '!HR31+Лист1!B31+Лист1!D31+Лист1!F31+Лист1!H31+Лист1!J31+Лист1!L31+Лист1!N31+Лист1!P31+'Свод '!DL31</f>
        <v>3244</v>
      </c>
      <c r="AK31" s="39">
        <f>'Свод '!AC31+'Свод '!AE31+'Свод '!AM31+'Свод '!AO31+'Свод '!AQ31+'Свод '!BE31+'Свод '!BG31+'Свод '!BI31+'Свод '!BK31+'Свод '!BM31+'Свод '!BO31+'Свод '!BQ31+'Свод '!BS31+'Свод '!BU31+'Свод '!BW31+'Свод '!BY31+'Свод '!CA31+'Свод '!CI31+'Свод '!CK31+'Свод '!CM31+'Свод '!CO31+'Свод '!CQ31+'Свод '!CS31+'Свод '!CU31+'Свод '!CW31+'Свод '!CY31+'Свод '!DA31+'Свод '!DC31+'Свод '!DI31+'Свод '!DO31+'Свод '!DS31+'Свод '!DU31+'Свод '!DW31+'Свод '!DY31+'Свод '!EA31+'Свод '!EC31+'Свод '!EE31+'Свод '!EG31+'Свод '!EI31+'Свод '!EK31+'Свод '!EM31+'Свод '!FK31+'Свод '!FM31+'Свод '!FO31+'Свод '!FQ31+'Свод '!FS31+'Свод '!FU31+'Свод '!FW31+'Свод '!FY31+'Свод '!GA31+'Свод '!GC31+'Свод '!GE31+'Свод '!GG31+'Свод '!GI31+'Свод '!HG31+'Свод '!HI31+'Свод '!HK31+'Свод '!HM31+'Свод '!HO31+'Свод '!HS31+Лист1!C31+Лист1!E31+Лист1!G31+Лист1!I31+Лист1!K31+Лист1!M31+Лист1!O31+Лист1!Q31+'Свод '!DM31</f>
        <v>2579.0067999999997</v>
      </c>
      <c r="AL31" s="144">
        <f>'Свод '!AF31+'Свод '!AJ31+'Свод '!BB31+'Свод '!CB31+'Свод '!CD31+'Свод '!EN31+'Свод '!FD31+'Свод '!FF31+'Свод '!GJ31+'Свод '!GL31+'Свод '!GN31+'Свод '!GP31+'Свод '!GR31+'Свод '!GT31+'Свод '!GV31+'Свод '!GX31+'Свод '!HT31+'Свод '!HV31</f>
        <v>0</v>
      </c>
      <c r="AM31" s="42">
        <f>'Свод '!AG31+'Свод '!AK31+'Свод '!BC31+'Свод '!CC31+'Свод '!CE31+'Свод '!EO31+'Свод '!FE31+'Свод '!FG31+'Свод '!GK31+'Свод '!GM31+'Свод '!GO31+'Свод '!GQ31+'Свод '!GS31+'Свод '!GU31+'Свод '!GW31+'Свод '!GY31+'Свод '!HU31+'Свод '!HW31</f>
        <v>0</v>
      </c>
      <c r="AN31" s="42">
        <f>'Свод '!J31+'Свод '!L31+'Свод '!N31+'Свод '!P31+'Свод '!R31+'Свод '!T31+'Свод '!V31+'Свод '!X31+'Свод '!Z31+'Свод '!AR31+'Свод '!AT31+'Свод '!AV31+'Свод '!AX31+'Свод '!DD31+'Свод '!EP31+'Свод '!ER31+'Свод '!ET31+'Свод '!EV31+'Свод '!EX31+'Свод '!EZ31+'Свод '!GZ31+'Свод '!HB31+T31+V31+Z31+AB31</f>
        <v>15309.16253</v>
      </c>
      <c r="AO31" s="42">
        <f>'Свод '!K31+'Свод '!M31+'Свод '!O31+'Свод '!Q31+'Свод '!S31+'Свод '!U31+'Свод '!W31+'Свод '!Y31+'Свод '!AA31+'Свод '!AS31+'Свод '!AU31+'Свод '!AW31+'Свод '!AY31+'Свод '!DE31+'Свод '!EQ31+'Свод '!ES31+'Свод '!EU31+'Свод '!EW31+'Свод '!EY31+'Свод '!FA31+'Свод '!HA31+'Свод '!HC31+U31+W31+AA31+AC31</f>
        <v>15299.24278</v>
      </c>
    </row>
    <row r="32" spans="1:41" ht="12.75" customHeight="1">
      <c r="A32" s="109" t="s">
        <v>207</v>
      </c>
      <c r="B32" s="104"/>
      <c r="C32" s="42"/>
      <c r="D32" s="40"/>
      <c r="E32" s="40"/>
      <c r="F32" s="43"/>
      <c r="G32" s="46"/>
      <c r="H32" s="40"/>
      <c r="I32" s="40"/>
      <c r="J32" s="110"/>
      <c r="K32" s="42"/>
      <c r="L32" s="40"/>
      <c r="M32" s="40"/>
      <c r="N32" s="40"/>
      <c r="O32" s="40"/>
      <c r="P32" s="40"/>
      <c r="Q32" s="40"/>
      <c r="R32" s="42">
        <f t="shared" si="1"/>
        <v>0</v>
      </c>
      <c r="S32" s="42">
        <f t="shared" si="2"/>
        <v>0</v>
      </c>
      <c r="T32" s="42"/>
      <c r="U32" s="42"/>
      <c r="V32" s="40"/>
      <c r="W32" s="40"/>
      <c r="X32" s="42">
        <f t="shared" si="3"/>
        <v>0</v>
      </c>
      <c r="Y32" s="42">
        <f t="shared" si="4"/>
        <v>0</v>
      </c>
      <c r="Z32" s="42"/>
      <c r="AA32" s="42"/>
      <c r="AB32" s="40"/>
      <c r="AC32" s="40"/>
      <c r="AD32" s="42">
        <f t="shared" si="5"/>
        <v>0</v>
      </c>
      <c r="AE32" s="42">
        <f t="shared" si="6"/>
        <v>0</v>
      </c>
      <c r="AF32" s="42">
        <f>'Свод '!AH32+'Свод '!AZ32+'Свод '!BB32+'Свод '!CF32+'Свод '!DF32+'Свод '!DJ32+'Свод '!DP32+'Свод '!FB32+'Свод '!FH32+'Свод '!HD32+'Свод '!HP32+'Свод '!HX32+Лист1!R32+Лист1!AD32+X32</f>
        <v>10671.22203</v>
      </c>
      <c r="AG32" s="42">
        <f>'Свод '!AI32+'Свод '!BA32+'Свод '!BC32+'Свод '!CG32+'Свод '!DG32+'Свод '!DK32+'Свод '!DQ32+'Свод '!FC32+'Свод '!FI32+'Свод '!HE32+'Свод '!HQ32+'Свод '!HY32+Лист1!S32+Лист1!AE32+Y32</f>
        <v>10252.82403</v>
      </c>
      <c r="AH32" s="42">
        <f>'Свод '!B32+'Свод '!D32+'Свод '!F32+'Свод '!H32</f>
        <v>3882.9999999999995</v>
      </c>
      <c r="AI32" s="42">
        <f>'Свод '!C32+'Свод '!E32+'Свод '!G32+'Свод '!I32</f>
        <v>3882.9999999999995</v>
      </c>
      <c r="AJ32" s="39">
        <f>'Свод '!AB32+'Свод '!AD32+'Свод '!AL32+'Свод '!AN32+'Свод '!AP32+'Свод '!BD32+'Свод '!BF32+'Свод '!BH32+'Свод '!BJ32+'Свод '!BL32+'Свод '!BN32+'Свод '!BP32+'Свод '!BR32+'Свод '!BT32+'Свод '!BV32+'Свод '!BX32+'Свод '!BZ32+'Свод '!CH32+'Свод '!CJ32+'Свод '!CL32+'Свод '!CN32+'Свод '!CP32+'Свод '!CR32+'Свод '!CT32+'Свод '!CV32+'Свод '!CX32+'Свод '!CZ32+'Свод '!DB32+'Свод '!DH32+'Свод '!DN32+'Свод '!DR32+'Свод '!DT32+'Свод '!DV32+'Свод '!DX32+'Свод '!DZ32+'Свод '!EB32+'Свод '!ED32+'Свод '!EF32+'Свод '!EH32+'Свод '!EJ32+'Свод '!EL32+'Свод '!FJ32+'Свод '!FL32+'Свод '!FN32+'Свод '!FP32+'Свод '!FR32+'Свод '!FT32+'Свод '!FV32+'Свод '!FX32+'Свод '!FZ32+'Свод '!GB32+'Свод '!GD32+'Свод '!GF32+'Свод '!GH32+'Свод '!HF32+'Свод '!HH32+'Свод '!HJ32+'Свод '!HL32+'Свод '!HN32+'Свод '!HR32+Лист1!B32+Лист1!D32+Лист1!F32+Лист1!H32+Лист1!J32+Лист1!L32+Лист1!N32+Лист1!P32+'Свод '!DL32</f>
        <v>6494.55929</v>
      </c>
      <c r="AK32" s="39">
        <f>'Свод '!AC32+'Свод '!AE32+'Свод '!AM32+'Свод '!AO32+'Свод '!AQ32+'Свод '!BE32+'Свод '!BG32+'Свод '!BI32+'Свод '!BK32+'Свод '!BM32+'Свод '!BO32+'Свод '!BQ32+'Свод '!BS32+'Свод '!BU32+'Свод '!BW32+'Свод '!BY32+'Свод '!CA32+'Свод '!CI32+'Свод '!CK32+'Свод '!CM32+'Свод '!CO32+'Свод '!CQ32+'Свод '!CS32+'Свод '!CU32+'Свод '!CW32+'Свод '!CY32+'Свод '!DA32+'Свод '!DC32+'Свод '!DI32+'Свод '!DO32+'Свод '!DS32+'Свод '!DU32+'Свод '!DW32+'Свод '!DY32+'Свод '!EA32+'Свод '!EC32+'Свод '!EE32+'Свод '!EG32+'Свод '!EI32+'Свод '!EK32+'Свод '!EM32+'Свод '!FK32+'Свод '!FM32+'Свод '!FO32+'Свод '!FQ32+'Свод '!FS32+'Свод '!FU32+'Свод '!FW32+'Свод '!FY32+'Свод '!GA32+'Свод '!GC32+'Свод '!GE32+'Свод '!GG32+'Свод '!GI32+'Свод '!HG32+'Свод '!HI32+'Свод '!HK32+'Свод '!HM32+'Свод '!HO32+'Свод '!HS32+Лист1!C32+Лист1!E32+Лист1!G32+Лист1!I32+Лист1!K32+Лист1!M32+Лист1!O32+Лист1!Q32+'Свод '!DM32</f>
        <v>6076.16129</v>
      </c>
      <c r="AL32" s="144">
        <f>'Свод '!AF32+'Свод '!AJ32+'Свод '!BB32+'Свод '!CB32+'Свод '!CD32+'Свод '!EN32+'Свод '!FD32+'Свод '!FF32+'Свод '!GJ32+'Свод '!GL32+'Свод '!GN32+'Свод '!GP32+'Свод '!GR32+'Свод '!GT32+'Свод '!GV32+'Свод '!GX32+'Свод '!HT32+'Свод '!HV32</f>
        <v>293</v>
      </c>
      <c r="AM32" s="42">
        <f>'Свод '!AG32+'Свод '!AK32+'Свод '!BC32+'Свод '!CC32+'Свод '!CE32+'Свод '!EO32+'Свод '!FE32+'Свод '!FG32+'Свод '!GK32+'Свод '!GM32+'Свод '!GO32+'Свод '!GQ32+'Свод '!GS32+'Свод '!GU32+'Свод '!GW32+'Свод '!GY32+'Свод '!HU32+'Свод '!HW32</f>
        <v>293</v>
      </c>
      <c r="AN32" s="42">
        <f>'Свод '!J32+'Свод '!L32+'Свод '!N32+'Свод '!P32+'Свод '!R32+'Свод '!T32+'Свод '!V32+'Свод '!X32+'Свод '!Z32+'Свод '!AR32+'Свод '!AT32+'Свод '!AV32+'Свод '!AX32+'Свод '!DD32+'Свод '!EP32+'Свод '!ER32+'Свод '!ET32+'Свод '!EV32+'Свод '!EX32+'Свод '!EZ32+'Свод '!GZ32+'Свод '!HB32+T32+V32+Z32+AB32</f>
        <v>0.66274</v>
      </c>
      <c r="AO32" s="42">
        <f>'Свод '!K32+'Свод '!M32+'Свод '!O32+'Свод '!Q32+'Свод '!S32+'Свод '!U32+'Свод '!W32+'Свод '!Y32+'Свод '!AA32+'Свод '!AS32+'Свод '!AU32+'Свод '!AW32+'Свод '!AY32+'Свод '!DE32+'Свод '!EQ32+'Свод '!ES32+'Свод '!EU32+'Свод '!EW32+'Свод '!EY32+'Свод '!FA32+'Свод '!HA32+'Свод '!HC32+U32+W32+AA32+AC32</f>
        <v>0.66274</v>
      </c>
    </row>
    <row r="33" spans="1:41" ht="12.75">
      <c r="A33" s="109" t="s">
        <v>208</v>
      </c>
      <c r="B33" s="104"/>
      <c r="C33" s="42"/>
      <c r="D33" s="40"/>
      <c r="E33" s="40"/>
      <c r="F33" s="43"/>
      <c r="G33" s="46"/>
      <c r="H33" s="40"/>
      <c r="I33" s="40"/>
      <c r="J33" s="110"/>
      <c r="K33" s="42"/>
      <c r="L33" s="40"/>
      <c r="M33" s="40"/>
      <c r="N33" s="40"/>
      <c r="O33" s="40"/>
      <c r="P33" s="40"/>
      <c r="Q33" s="40"/>
      <c r="R33" s="42">
        <f t="shared" si="1"/>
        <v>0</v>
      </c>
      <c r="S33" s="42">
        <f t="shared" si="2"/>
        <v>0</v>
      </c>
      <c r="T33" s="42"/>
      <c r="U33" s="42"/>
      <c r="V33" s="40"/>
      <c r="W33" s="40"/>
      <c r="X33" s="42">
        <f t="shared" si="3"/>
        <v>0</v>
      </c>
      <c r="Y33" s="42">
        <f t="shared" si="4"/>
        <v>0</v>
      </c>
      <c r="Z33" s="42"/>
      <c r="AA33" s="42"/>
      <c r="AB33" s="40"/>
      <c r="AC33" s="40"/>
      <c r="AD33" s="42">
        <f t="shared" si="5"/>
        <v>0</v>
      </c>
      <c r="AE33" s="42">
        <f t="shared" si="6"/>
        <v>0</v>
      </c>
      <c r="AF33" s="42">
        <f>'Свод '!AH33+'Свод '!AZ33+'Свод '!BB33+'Свод '!CF33+'Свод '!DF33+'Свод '!DJ33+'Свод '!DP33+'Свод '!FB33+'Свод '!FH33+'Свод '!HD33+'Свод '!HP33+'Свод '!HX33+Лист1!R33+Лист1!AD33+X33</f>
        <v>6101</v>
      </c>
      <c r="AG33" s="42">
        <f>'Свод '!AI33+'Свод '!BA33+'Свод '!BC33+'Свод '!CG33+'Свод '!DG33+'Свод '!DK33+'Свод '!DQ33+'Свод '!FC33+'Свод '!FI33+'Свод '!HE33+'Свод '!HQ33+'Свод '!HY33+Лист1!S33+Лист1!AE33+Y33</f>
        <v>6101</v>
      </c>
      <c r="AH33" s="42">
        <f>'Свод '!B33+'Свод '!D33+'Свод '!F33+'Свод '!H33</f>
        <v>3894.9999999999995</v>
      </c>
      <c r="AI33" s="42">
        <f>'Свод '!C33+'Свод '!E33+'Свод '!G33+'Свод '!I33</f>
        <v>3894.9999999999995</v>
      </c>
      <c r="AJ33" s="39">
        <f>'Свод '!AB33+'Свод '!AD33+'Свод '!AL33+'Свод '!AN33+'Свод '!AP33+'Свод '!BD33+'Свод '!BF33+'Свод '!BH33+'Свод '!BJ33+'Свод '!BL33+'Свод '!BN33+'Свод '!BP33+'Свод '!BR33+'Свод '!BT33+'Свод '!BV33+'Свод '!BX33+'Свод '!BZ33+'Свод '!CH33+'Свод '!CJ33+'Свод '!CL33+'Свод '!CN33+'Свод '!CP33+'Свод '!CR33+'Свод '!CT33+'Свод '!CV33+'Свод '!CX33+'Свод '!CZ33+'Свод '!DB33+'Свод '!DH33+'Свод '!DN33+'Свод '!DR33+'Свод '!DT33+'Свод '!DV33+'Свод '!DX33+'Свод '!DZ33+'Свод '!EB33+'Свод '!ED33+'Свод '!EF33+'Свод '!EH33+'Свод '!EJ33+'Свод '!EL33+'Свод '!FJ33+'Свод '!FL33+'Свод '!FN33+'Свод '!FP33+'Свод '!FR33+'Свод '!FT33+'Свод '!FV33+'Свод '!FX33+'Свод '!FZ33+'Свод '!GB33+'Свод '!GD33+'Свод '!GF33+'Свод '!GH33+'Свод '!HF33+'Свод '!HH33+'Свод '!HJ33+'Свод '!HL33+'Свод '!HN33+'Свод '!HR33+Лист1!B33+Лист1!D33+Лист1!F33+Лист1!H33+Лист1!J33+Лист1!L33+Лист1!N33+Лист1!P33+'Свод '!DL33</f>
        <v>1913</v>
      </c>
      <c r="AK33" s="39">
        <f>'Свод '!AC33+'Свод '!AE33+'Свод '!AM33+'Свод '!AO33+'Свод '!AQ33+'Свод '!BE33+'Свод '!BG33+'Свод '!BI33+'Свод '!BK33+'Свод '!BM33+'Свод '!BO33+'Свод '!BQ33+'Свод '!BS33+'Свод '!BU33+'Свод '!BW33+'Свод '!BY33+'Свод '!CA33+'Свод '!CI33+'Свод '!CK33+'Свод '!CM33+'Свод '!CO33+'Свод '!CQ33+'Свод '!CS33+'Свод '!CU33+'Свод '!CW33+'Свод '!CY33+'Свод '!DA33+'Свод '!DC33+'Свод '!DI33+'Свод '!DO33+'Свод '!DS33+'Свод '!DU33+'Свод '!DW33+'Свод '!DY33+'Свод '!EA33+'Свод '!EC33+'Свод '!EE33+'Свод '!EG33+'Свод '!EI33+'Свод '!EK33+'Свод '!EM33+'Свод '!FK33+'Свод '!FM33+'Свод '!FO33+'Свод '!FQ33+'Свод '!FS33+'Свод '!FU33+'Свод '!FW33+'Свод '!FY33+'Свод '!GA33+'Свод '!GC33+'Свод '!GE33+'Свод '!GG33+'Свод '!GI33+'Свод '!HG33+'Свод '!HI33+'Свод '!HK33+'Свод '!HM33+'Свод '!HO33+'Свод '!HS33+Лист1!C33+Лист1!E33+Лист1!G33+Лист1!I33+Лист1!K33+Лист1!M33+Лист1!O33+Лист1!Q33+'Свод '!DM33</f>
        <v>1913</v>
      </c>
      <c r="AL33" s="144">
        <f>'Свод '!AF33+'Свод '!AJ33+'Свод '!BB33+'Свод '!CB33+'Свод '!CD33+'Свод '!EN33+'Свод '!FD33+'Свод '!FF33+'Свод '!GJ33+'Свод '!GL33+'Свод '!GN33+'Свод '!GP33+'Свод '!GR33+'Свод '!GT33+'Свод '!GV33+'Свод '!GX33+'Свод '!HT33+'Свод '!HV33</f>
        <v>293</v>
      </c>
      <c r="AM33" s="42">
        <f>'Свод '!AG33+'Свод '!AK33+'Свод '!BC33+'Свод '!CC33+'Свод '!CE33+'Свод '!EO33+'Свод '!FE33+'Свод '!FG33+'Свод '!GK33+'Свод '!GM33+'Свод '!GO33+'Свод '!GQ33+'Свод '!GS33+'Свод '!GU33+'Свод '!GW33+'Свод '!GY33+'Свод '!HU33+'Свод '!HW33</f>
        <v>293</v>
      </c>
      <c r="AN33" s="42">
        <f>'Свод '!J33+'Свод '!L33+'Свод '!N33+'Свод '!P33+'Свод '!R33+'Свод '!T33+'Свод '!V33+'Свод '!X33+'Свод '!Z33+'Свод '!AR33+'Свод '!AT33+'Свод '!AV33+'Свод '!AX33+'Свод '!DD33+'Свод '!EP33+'Свод '!ER33+'Свод '!ET33+'Свод '!EV33+'Свод '!EX33+'Свод '!EZ33+'Свод '!GZ33+'Свод '!HB33+T33+V33+Z33+AB33</f>
        <v>0</v>
      </c>
      <c r="AO33" s="42">
        <f>'Свод '!K33+'Свод '!M33+'Свод '!O33+'Свод '!Q33+'Свод '!S33+'Свод '!U33+'Свод '!W33+'Свод '!Y33+'Свод '!AA33+'Свод '!AS33+'Свод '!AU33+'Свод '!AW33+'Свод '!AY33+'Свод '!DE33+'Свод '!EQ33+'Свод '!ES33+'Свод '!EU33+'Свод '!EW33+'Свод '!EY33+'Свод '!FA33+'Свод '!HA33+'Свод '!HC33+U33+W33+AA33+AC33</f>
        <v>0</v>
      </c>
    </row>
    <row r="34" spans="1:41" ht="12.75" customHeight="1">
      <c r="A34" s="109" t="s">
        <v>227</v>
      </c>
      <c r="B34" s="104"/>
      <c r="C34" s="42"/>
      <c r="D34" s="40"/>
      <c r="E34" s="40"/>
      <c r="F34" s="43"/>
      <c r="G34" s="46"/>
      <c r="H34" s="40"/>
      <c r="I34" s="40"/>
      <c r="J34" s="110"/>
      <c r="K34" s="42"/>
      <c r="L34" s="40"/>
      <c r="M34" s="40"/>
      <c r="N34" s="40"/>
      <c r="O34" s="40"/>
      <c r="P34" s="40"/>
      <c r="Q34" s="40"/>
      <c r="R34" s="42">
        <f t="shared" si="1"/>
        <v>0</v>
      </c>
      <c r="S34" s="42">
        <f t="shared" si="2"/>
        <v>0</v>
      </c>
      <c r="T34" s="42"/>
      <c r="U34" s="42"/>
      <c r="V34" s="40"/>
      <c r="W34" s="40"/>
      <c r="X34" s="42">
        <f t="shared" si="3"/>
        <v>0</v>
      </c>
      <c r="Y34" s="42">
        <f t="shared" si="4"/>
        <v>0</v>
      </c>
      <c r="Z34" s="42"/>
      <c r="AA34" s="42"/>
      <c r="AB34" s="40"/>
      <c r="AC34" s="40"/>
      <c r="AD34" s="42">
        <f t="shared" si="5"/>
        <v>0</v>
      </c>
      <c r="AE34" s="42">
        <f t="shared" si="6"/>
        <v>0</v>
      </c>
      <c r="AF34" s="42">
        <f>'Свод '!AH34+'Свод '!AZ34+'Свод '!BB34+'Свод '!CF34+'Свод '!DF34+'Свод '!DJ34+'Свод '!DP34+'Свод '!FB34+'Свод '!FH34+'Свод '!HD34+'Свод '!HP34+'Свод '!HX34+Лист1!R34+Лист1!AD34+X34</f>
        <v>5184.32326</v>
      </c>
      <c r="AG34" s="42">
        <f>'Свод '!AI34+'Свод '!BA34+'Свод '!BC34+'Свод '!CG34+'Свод '!DG34+'Свод '!DK34+'Свод '!DQ34+'Свод '!FC34+'Свод '!FI34+'Свод '!HE34+'Свод '!HQ34+'Свод '!HY34+Лист1!S34+Лист1!AE34+Y34</f>
        <v>5183.88132</v>
      </c>
      <c r="AH34" s="42">
        <f>'Свод '!B34+'Свод '!D34+'Свод '!F34+'Свод '!H34</f>
        <v>4895</v>
      </c>
      <c r="AI34" s="42">
        <f>'Свод '!C34+'Свод '!E34+'Свод '!G34+'Свод '!I34</f>
        <v>4895</v>
      </c>
      <c r="AJ34" s="39">
        <f>'Свод '!AB34+'Свод '!AD34+'Свод '!AL34+'Свод '!AN34+'Свод '!AP34+'Свод '!BD34+'Свод '!BF34+'Свод '!BH34+'Свод '!BJ34+'Свод '!BL34+'Свод '!BN34+'Свод '!BP34+'Свод '!BR34+'Свод '!BT34+'Свод '!BV34+'Свод '!BX34+'Свод '!BZ34+'Свод '!CH34+'Свод '!CJ34+'Свод '!CL34+'Свод '!CN34+'Свод '!CP34+'Свод '!CR34+'Свод '!CT34+'Свод '!CV34+'Свод '!CX34+'Свод '!CZ34+'Свод '!DB34+'Свод '!DH34+'Свод '!DN34+'Свод '!DR34+'Свод '!DT34+'Свод '!DV34+'Свод '!DX34+'Свод '!DZ34+'Свод '!EB34+'Свод '!ED34+'Свод '!EF34+'Свод '!EH34+'Свод '!EJ34+'Свод '!EL34+'Свод '!FJ34+'Свод '!FL34+'Свод '!FN34+'Свод '!FP34+'Свод '!FR34+'Свод '!FT34+'Свод '!FV34+'Свод '!FX34+'Свод '!FZ34+'Свод '!GB34+'Свод '!GD34+'Свод '!GF34+'Свод '!GH34+'Свод '!HF34+'Свод '!HH34+'Свод '!HJ34+'Свод '!HL34+'Свод '!HN34+'Свод '!HR34+Лист1!B34+Лист1!D34+Лист1!F34+Лист1!H34+Лист1!J34+Лист1!L34+Лист1!N34+Лист1!P34+'Свод '!DL34</f>
        <v>0</v>
      </c>
      <c r="AK34" s="39">
        <f>'Свод '!AC34+'Свод '!AE34+'Свод '!AM34+'Свод '!AO34+'Свод '!AQ34+'Свод '!BE34+'Свод '!BG34+'Свод '!BI34+'Свод '!BK34+'Свод '!BM34+'Свод '!BO34+'Свод '!BQ34+'Свод '!BS34+'Свод '!BU34+'Свод '!BW34+'Свод '!BY34+'Свод '!CA34+'Свод '!CI34+'Свод '!CK34+'Свод '!CM34+'Свод '!CO34+'Свод '!CQ34+'Свод '!CS34+'Свод '!CU34+'Свод '!CW34+'Свод '!CY34+'Свод '!DA34+'Свод '!DC34+'Свод '!DI34+'Свод '!DO34+'Свод '!DS34+'Свод '!DU34+'Свод '!DW34+'Свод '!DY34+'Свод '!EA34+'Свод '!EC34+'Свод '!EE34+'Свод '!EG34+'Свод '!EI34+'Свод '!EK34+'Свод '!EM34+'Свод '!FK34+'Свод '!FM34+'Свод '!FO34+'Свод '!FQ34+'Свод '!FS34+'Свод '!FU34+'Свод '!FW34+'Свод '!FY34+'Свод '!GA34+'Свод '!GC34+'Свод '!GE34+'Свод '!GG34+'Свод '!GI34+'Свод '!HG34+'Свод '!HI34+'Свод '!HK34+'Свод '!HM34+'Свод '!HO34+'Свод '!HS34+Лист1!C34+Лист1!E34+Лист1!G34+Лист1!I34+Лист1!K34+Лист1!M34+Лист1!O34+Лист1!Q34+'Свод '!DM34</f>
        <v>0</v>
      </c>
      <c r="AL34" s="144">
        <f>'Свод '!AF34+'Свод '!AJ34+'Свод '!BB34+'Свод '!CB34+'Свод '!CD34+'Свод '!EN34+'Свод '!FD34+'Свод '!FF34+'Свод '!GJ34+'Свод '!GL34+'Свод '!GN34+'Свод '!GP34+'Свод '!GR34+'Свод '!GT34+'Свод '!GV34+'Свод '!GX34+'Свод '!HT34+'Свод '!HV34</f>
        <v>147</v>
      </c>
      <c r="AM34" s="42">
        <f>'Свод '!AG34+'Свод '!AK34+'Свод '!BC34+'Свод '!CC34+'Свод '!CE34+'Свод '!EO34+'Свод '!FE34+'Свод '!FG34+'Свод '!GK34+'Свод '!GM34+'Свод '!GO34+'Свод '!GQ34+'Свод '!GS34+'Свод '!GU34+'Свод '!GW34+'Свод '!GY34+'Свод '!HU34+'Свод '!HW34</f>
        <v>146.99999999999997</v>
      </c>
      <c r="AN34" s="42">
        <f>'Свод '!J34+'Свод '!L34+'Свод '!N34+'Свод '!P34+'Свод '!R34+'Свод '!T34+'Свод '!V34+'Свод '!X34+'Свод '!Z34+'Свод '!AR34+'Свод '!AT34+'Свод '!AV34+'Свод '!AX34+'Свод '!DD34+'Свод '!EP34+'Свод '!ER34+'Свод '!ET34+'Свод '!EV34+'Свод '!EX34+'Свод '!EZ34+'Свод '!GZ34+'Свод '!HB34+T34+V34+Z34+AB34</f>
        <v>142.32326</v>
      </c>
      <c r="AO34" s="42">
        <f>'Свод '!K34+'Свод '!M34+'Свод '!O34+'Свод '!Q34+'Свод '!S34+'Свод '!U34+'Свод '!W34+'Свод '!Y34+'Свод '!AA34+'Свод '!AS34+'Свод '!AU34+'Свод '!AW34+'Свод '!AY34+'Свод '!DE34+'Свод '!EQ34+'Свод '!ES34+'Свод '!EU34+'Свод '!EW34+'Свод '!EY34+'Свод '!FA34+'Свод '!HA34+'Свод '!HC34+U34+W34+AA34+AC34</f>
        <v>141.88132000000002</v>
      </c>
    </row>
    <row r="35" spans="1:41" ht="12.75">
      <c r="A35" s="109" t="s">
        <v>228</v>
      </c>
      <c r="B35" s="104"/>
      <c r="C35" s="42"/>
      <c r="D35" s="40"/>
      <c r="E35" s="40"/>
      <c r="F35" s="43"/>
      <c r="G35" s="46"/>
      <c r="H35" s="40"/>
      <c r="I35" s="40"/>
      <c r="J35" s="110"/>
      <c r="K35" s="42"/>
      <c r="L35" s="40"/>
      <c r="M35" s="40"/>
      <c r="N35" s="40"/>
      <c r="O35" s="40"/>
      <c r="P35" s="40"/>
      <c r="Q35" s="40"/>
      <c r="R35" s="42">
        <f t="shared" si="1"/>
        <v>0</v>
      </c>
      <c r="S35" s="42">
        <f t="shared" si="2"/>
        <v>0</v>
      </c>
      <c r="T35" s="42"/>
      <c r="U35" s="42"/>
      <c r="V35" s="40"/>
      <c r="W35" s="40"/>
      <c r="X35" s="42">
        <f t="shared" si="3"/>
        <v>0</v>
      </c>
      <c r="Y35" s="42">
        <f t="shared" si="4"/>
        <v>0</v>
      </c>
      <c r="Z35" s="42"/>
      <c r="AA35" s="42"/>
      <c r="AB35" s="40"/>
      <c r="AC35" s="40"/>
      <c r="AD35" s="42">
        <f t="shared" si="5"/>
        <v>0</v>
      </c>
      <c r="AE35" s="42">
        <f t="shared" si="6"/>
        <v>0</v>
      </c>
      <c r="AF35" s="42">
        <f>'Свод '!AH35+'Свод '!AZ35+'Свод '!BB35+'Свод '!CF35+'Свод '!DF35+'Свод '!DJ35+'Свод '!DP35+'Свод '!FB35+'Свод '!FH35+'Свод '!HD35+'Свод '!HP35+'Свод '!HX35+Лист1!R35+Лист1!AD35+X35</f>
        <v>2982</v>
      </c>
      <c r="AG35" s="42">
        <f>'Свод '!AI35+'Свод '!BA35+'Свод '!BC35+'Свод '!CG35+'Свод '!DG35+'Свод '!DK35+'Свод '!DQ35+'Свод '!FC35+'Свод '!FI35+'Свод '!HE35+'Свод '!HQ35+'Свод '!HY35+Лист1!S35+Лист1!AE35+Y35</f>
        <v>2982</v>
      </c>
      <c r="AH35" s="42">
        <f>'Свод '!B35+'Свод '!D35+'Свод '!F35+'Свод '!H35</f>
        <v>2835</v>
      </c>
      <c r="AI35" s="42">
        <f>'Свод '!C35+'Свод '!E35+'Свод '!G35+'Свод '!I35</f>
        <v>2835</v>
      </c>
      <c r="AJ35" s="39">
        <f>'Свод '!AB35+'Свод '!AD35+'Свод '!AL35+'Свод '!AN35+'Свод '!AP35+'Свод '!BD35+'Свод '!BF35+'Свод '!BH35+'Свод '!BJ35+'Свод '!BL35+'Свод '!BN35+'Свод '!BP35+'Свод '!BR35+'Свод '!BT35+'Свод '!BV35+'Свод '!BX35+'Свод '!BZ35+'Свод '!CH35+'Свод '!CJ35+'Свод '!CL35+'Свод '!CN35+'Свод '!CP35+'Свод '!CR35+'Свод '!CT35+'Свод '!CV35+'Свод '!CX35+'Свод '!CZ35+'Свод '!DB35+'Свод '!DH35+'Свод '!DN35+'Свод '!DR35+'Свод '!DT35+'Свод '!DV35+'Свод '!DX35+'Свод '!DZ35+'Свод '!EB35+'Свод '!ED35+'Свод '!EF35+'Свод '!EH35+'Свод '!EJ35+'Свод '!EL35+'Свод '!FJ35+'Свод '!FL35+'Свод '!FN35+'Свод '!FP35+'Свод '!FR35+'Свод '!FT35+'Свод '!FV35+'Свод '!FX35+'Свод '!FZ35+'Свод '!GB35+'Свод '!GD35+'Свод '!GF35+'Свод '!GH35+'Свод '!HF35+'Свод '!HH35+'Свод '!HJ35+'Свод '!HL35+'Свод '!HN35+'Свод '!HR35+Лист1!B35+Лист1!D35+Лист1!F35+Лист1!H35+Лист1!J35+Лист1!L35+Лист1!N35+Лист1!P35+'Свод '!DL35</f>
        <v>0</v>
      </c>
      <c r="AK35" s="39">
        <f>'Свод '!AC35+'Свод '!AE35+'Свод '!AM35+'Свод '!AO35+'Свод '!AQ35+'Свод '!BE35+'Свод '!BG35+'Свод '!BI35+'Свод '!BK35+'Свод '!BM35+'Свод '!BO35+'Свод '!BQ35+'Свод '!BS35+'Свод '!BU35+'Свод '!BW35+'Свод '!BY35+'Свод '!CA35+'Свод '!CI35+'Свод '!CK35+'Свод '!CM35+'Свод '!CO35+'Свод '!CQ35+'Свод '!CS35+'Свод '!CU35+'Свод '!CW35+'Свод '!CY35+'Свод '!DA35+'Свод '!DC35+'Свод '!DI35+'Свод '!DO35+'Свод '!DS35+'Свод '!DU35+'Свод '!DW35+'Свод '!DY35+'Свод '!EA35+'Свод '!EC35+'Свод '!EE35+'Свод '!EG35+'Свод '!EI35+'Свод '!EK35+'Свод '!EM35+'Свод '!FK35+'Свод '!FM35+'Свод '!FO35+'Свод '!FQ35+'Свод '!FS35+'Свод '!FU35+'Свод '!FW35+'Свод '!FY35+'Свод '!GA35+'Свод '!GC35+'Свод '!GE35+'Свод '!GG35+'Свод '!GI35+'Свод '!HG35+'Свод '!HI35+'Свод '!HK35+'Свод '!HM35+'Свод '!HO35+'Свод '!HS35+Лист1!C35+Лист1!E35+Лист1!G35+Лист1!I35+Лист1!K35+Лист1!M35+Лист1!O35+Лист1!Q35+'Свод '!DM35</f>
        <v>0</v>
      </c>
      <c r="AL35" s="144">
        <f>'Свод '!AF35+'Свод '!AJ35+'Свод '!BB35+'Свод '!CB35+'Свод '!CD35+'Свод '!EN35+'Свод '!FD35+'Свод '!FF35+'Свод '!GJ35+'Свод '!GL35+'Свод '!GN35+'Свод '!GP35+'Свод '!GR35+'Свод '!GT35+'Свод '!GV35+'Свод '!GX35+'Свод '!HT35+'Свод '!HV35</f>
        <v>147</v>
      </c>
      <c r="AM35" s="42">
        <f>'Свод '!AG35+'Свод '!AK35+'Свод '!BC35+'Свод '!CC35+'Свод '!CE35+'Свод '!EO35+'Свод '!FE35+'Свод '!FG35+'Свод '!GK35+'Свод '!GM35+'Свод '!GO35+'Свод '!GQ35+'Свод '!GS35+'Свод '!GU35+'Свод '!GW35+'Свод '!GY35+'Свод '!HU35+'Свод '!HW35</f>
        <v>147</v>
      </c>
      <c r="AN35" s="42">
        <f>'Свод '!J35+'Свод '!L35+'Свод '!N35+'Свод '!P35+'Свод '!R35+'Свод '!T35+'Свод '!V35+'Свод '!X35+'Свод '!Z35+'Свод '!AR35+'Свод '!AT35+'Свод '!AV35+'Свод '!AX35+'Свод '!DD35+'Свод '!EP35+'Свод '!ER35+'Свод '!ET35+'Свод '!EV35+'Свод '!EX35+'Свод '!EZ35+'Свод '!GZ35+'Свод '!HB35+T35+V35+Z35+AB35</f>
        <v>0</v>
      </c>
      <c r="AO35" s="42">
        <f>'Свод '!K35+'Свод '!M35+'Свод '!O35+'Свод '!Q35+'Свод '!S35+'Свод '!U35+'Свод '!W35+'Свод '!Y35+'Свод '!AA35+'Свод '!AS35+'Свод '!AU35+'Свод '!AW35+'Свод '!AY35+'Свод '!DE35+'Свод '!EQ35+'Свод '!ES35+'Свод '!EU35+'Свод '!EW35+'Свод '!EY35+'Свод '!FA35+'Свод '!HA35+'Свод '!HC35+U35+W35+AA35+AC35</f>
        <v>0</v>
      </c>
    </row>
    <row r="36" spans="1:41" ht="12.75" customHeight="1">
      <c r="A36" s="109" t="s">
        <v>229</v>
      </c>
      <c r="B36" s="104"/>
      <c r="C36" s="42"/>
      <c r="D36" s="40"/>
      <c r="E36" s="40"/>
      <c r="F36" s="43"/>
      <c r="G36" s="46"/>
      <c r="H36" s="40"/>
      <c r="I36" s="40"/>
      <c r="J36" s="110"/>
      <c r="K36" s="42"/>
      <c r="L36" s="40"/>
      <c r="M36" s="40"/>
      <c r="N36" s="40"/>
      <c r="O36" s="40"/>
      <c r="P36" s="40"/>
      <c r="Q36" s="40"/>
      <c r="R36" s="42">
        <f t="shared" si="1"/>
        <v>0</v>
      </c>
      <c r="S36" s="42">
        <f t="shared" si="2"/>
        <v>0</v>
      </c>
      <c r="T36" s="42"/>
      <c r="U36" s="42"/>
      <c r="V36" s="40"/>
      <c r="W36" s="40"/>
      <c r="X36" s="42">
        <f t="shared" si="3"/>
        <v>0</v>
      </c>
      <c r="Y36" s="42">
        <f t="shared" si="4"/>
        <v>0</v>
      </c>
      <c r="Z36" s="42"/>
      <c r="AA36" s="42"/>
      <c r="AB36" s="40"/>
      <c r="AC36" s="40"/>
      <c r="AD36" s="42">
        <f t="shared" si="5"/>
        <v>0</v>
      </c>
      <c r="AE36" s="42">
        <f t="shared" si="6"/>
        <v>0</v>
      </c>
      <c r="AF36" s="42">
        <f>'Свод '!AH36+'Свод '!AZ36+'Свод '!BB36+'Свод '!CF36+'Свод '!DF36+'Свод '!DJ36+'Свод '!DP36+'Свод '!FB36+'Свод '!FH36+'Свод '!HD36+'Свод '!HP36+'Свод '!HX36+Лист1!R36+Лист1!AD36+X36</f>
        <v>1460</v>
      </c>
      <c r="AG36" s="42">
        <f>'Свод '!AI36+'Свод '!BA36+'Свод '!BC36+'Свод '!CG36+'Свод '!DG36+'Свод '!DK36+'Свод '!DQ36+'Свод '!FC36+'Свод '!FI36+'Свод '!HE36+'Свод '!HQ36+'Свод '!HY36+Лист1!S36+Лист1!AE36+Y36</f>
        <v>1460</v>
      </c>
      <c r="AH36" s="42">
        <f>'Свод '!B36+'Свод '!D36+'Свод '!F36+'Свод '!H36</f>
        <v>1387</v>
      </c>
      <c r="AI36" s="42">
        <f>'Свод '!C36+'Свод '!E36+'Свод '!G36+'Свод '!I36</f>
        <v>1387</v>
      </c>
      <c r="AJ36" s="39">
        <f>'Свод '!AB36+'Свод '!AD36+'Свод '!AL36+'Свод '!AN36+'Свод '!AP36+'Свод '!BD36+'Свод '!BF36+'Свод '!BH36+'Свод '!BJ36+'Свод '!BL36+'Свод '!BN36+'Свод '!BP36+'Свод '!BR36+'Свод '!BT36+'Свод '!BV36+'Свод '!BX36+'Свод '!BZ36+'Свод '!CH36+'Свод '!CJ36+'Свод '!CL36+'Свод '!CN36+'Свод '!CP36+'Свод '!CR36+'Свод '!CT36+'Свод '!CV36+'Свод '!CX36+'Свод '!CZ36+'Свод '!DB36+'Свод '!DH36+'Свод '!DN36+'Свод '!DR36+'Свод '!DT36+'Свод '!DV36+'Свод '!DX36+'Свод '!DZ36+'Свод '!EB36+'Свод '!ED36+'Свод '!EF36+'Свод '!EH36+'Свод '!EJ36+'Свод '!EL36+'Свод '!FJ36+'Свод '!FL36+'Свод '!FN36+'Свод '!FP36+'Свод '!FR36+'Свод '!FT36+'Свод '!FV36+'Свод '!FX36+'Свод '!FZ36+'Свод '!GB36+'Свод '!GD36+'Свод '!GF36+'Свод '!GH36+'Свод '!HF36+'Свод '!HH36+'Свод '!HJ36+'Свод '!HL36+'Свод '!HN36+'Свод '!HR36+Лист1!B36+Лист1!D36+Лист1!F36+Лист1!H36+Лист1!J36+Лист1!L36+Лист1!N36+Лист1!P36+'Свод '!DL36</f>
        <v>0</v>
      </c>
      <c r="AK36" s="39">
        <f>'Свод '!AC36+'Свод '!AE36+'Свод '!AM36+'Свод '!AO36+'Свод '!AQ36+'Свод '!BE36+'Свод '!BG36+'Свод '!BI36+'Свод '!BK36+'Свод '!BM36+'Свод '!BO36+'Свод '!BQ36+'Свод '!BS36+'Свод '!BU36+'Свод '!BW36+'Свод '!BY36+'Свод '!CA36+'Свод '!CI36+'Свод '!CK36+'Свод '!CM36+'Свод '!CO36+'Свод '!CQ36+'Свод '!CS36+'Свод '!CU36+'Свод '!CW36+'Свод '!CY36+'Свод '!DA36+'Свод '!DC36+'Свод '!DI36+'Свод '!DO36+'Свод '!DS36+'Свод '!DU36+'Свод '!DW36+'Свод '!DY36+'Свод '!EA36+'Свод '!EC36+'Свод '!EE36+'Свод '!EG36+'Свод '!EI36+'Свод '!EK36+'Свод '!EM36+'Свод '!FK36+'Свод '!FM36+'Свод '!FO36+'Свод '!FQ36+'Свод '!FS36+'Свод '!FU36+'Свод '!FW36+'Свод '!FY36+'Свод '!GA36+'Свод '!GC36+'Свод '!GE36+'Свод '!GG36+'Свод '!GI36+'Свод '!HG36+'Свод '!HI36+'Свод '!HK36+'Свод '!HM36+'Свод '!HO36+'Свод '!HS36+Лист1!C36+Лист1!E36+Лист1!G36+Лист1!I36+Лист1!K36+Лист1!M36+Лист1!O36+Лист1!Q36+'Свод '!DM36</f>
        <v>0</v>
      </c>
      <c r="AL36" s="144">
        <f>'Свод '!AF36+'Свод '!AJ36+'Свод '!BB36+'Свод '!CB36+'Свод '!CD36+'Свод '!EN36+'Свод '!FD36+'Свод '!FF36+'Свод '!GJ36+'Свод '!GL36+'Свод '!GN36+'Свод '!GP36+'Свод '!GR36+'Свод '!GT36+'Свод '!GV36+'Свод '!GX36+'Свод '!HT36+'Свод '!HV36</f>
        <v>73</v>
      </c>
      <c r="AM36" s="42">
        <f>'Свод '!AG36+'Свод '!AK36+'Свод '!BC36+'Свод '!CC36+'Свод '!CE36+'Свод '!EO36+'Свод '!FE36+'Свод '!FG36+'Свод '!GK36+'Свод '!GM36+'Свод '!GO36+'Свод '!GQ36+'Свод '!GS36+'Свод '!GU36+'Свод '!GW36+'Свод '!GY36+'Свод '!HU36+'Свод '!HW36</f>
        <v>73</v>
      </c>
      <c r="AN36" s="42">
        <f>'Свод '!J36+'Свод '!L36+'Свод '!N36+'Свод '!P36+'Свод '!R36+'Свод '!T36+'Свод '!V36+'Свод '!X36+'Свод '!Z36+'Свод '!AR36+'Свод '!AT36+'Свод '!AV36+'Свод '!AX36+'Свод '!DD36+'Свод '!EP36+'Свод '!ER36+'Свод '!ET36+'Свод '!EV36+'Свод '!EX36+'Свод '!EZ36+'Свод '!GZ36+'Свод '!HB36+T36+V36+Z36+AB36</f>
        <v>0</v>
      </c>
      <c r="AO36" s="42">
        <f>'Свод '!K36+'Свод '!M36+'Свод '!O36+'Свод '!Q36+'Свод '!S36+'Свод '!U36+'Свод '!W36+'Свод '!Y36+'Свод '!AA36+'Свод '!AS36+'Свод '!AU36+'Свод '!AW36+'Свод '!AY36+'Свод '!DE36+'Свод '!EQ36+'Свод '!ES36+'Свод '!EU36+'Свод '!EW36+'Свод '!EY36+'Свод '!FA36+'Свод '!HA36+'Свод '!HC36+U36+W36+AA36+AC36</f>
        <v>0</v>
      </c>
    </row>
    <row r="37" spans="1:41" ht="12.75">
      <c r="A37" s="109" t="s">
        <v>230</v>
      </c>
      <c r="B37" s="104"/>
      <c r="C37" s="42"/>
      <c r="D37" s="40"/>
      <c r="E37" s="40"/>
      <c r="F37" s="43"/>
      <c r="G37" s="46"/>
      <c r="H37" s="40"/>
      <c r="I37" s="40"/>
      <c r="J37" s="110"/>
      <c r="K37" s="42"/>
      <c r="L37" s="40"/>
      <c r="M37" s="40"/>
      <c r="N37" s="40"/>
      <c r="O37" s="40"/>
      <c r="P37" s="40"/>
      <c r="Q37" s="40"/>
      <c r="R37" s="42">
        <f t="shared" si="1"/>
        <v>0</v>
      </c>
      <c r="S37" s="42">
        <f t="shared" si="2"/>
        <v>0</v>
      </c>
      <c r="T37" s="42"/>
      <c r="U37" s="42"/>
      <c r="V37" s="40"/>
      <c r="W37" s="40"/>
      <c r="X37" s="42">
        <f t="shared" si="3"/>
        <v>0</v>
      </c>
      <c r="Y37" s="42">
        <f t="shared" si="4"/>
        <v>0</v>
      </c>
      <c r="Z37" s="42"/>
      <c r="AA37" s="42"/>
      <c r="AB37" s="40"/>
      <c r="AC37" s="40"/>
      <c r="AD37" s="42">
        <f t="shared" si="5"/>
        <v>0</v>
      </c>
      <c r="AE37" s="42">
        <f t="shared" si="6"/>
        <v>0</v>
      </c>
      <c r="AF37" s="42">
        <f>'Свод '!AH37+'Свод '!AZ37+'Свод '!BB37+'Свод '!CF37+'Свод '!DF37+'Свод '!DJ37+'Свод '!DP37+'Свод '!FB37+'Свод '!FH37+'Свод '!HD37+'Свод '!HP37+'Свод '!HX37+Лист1!R37+Лист1!AD37+X37</f>
        <v>2779.9999999999995</v>
      </c>
      <c r="AG37" s="42">
        <f>'Свод '!AI37+'Свод '!BA37+'Свод '!BC37+'Свод '!CG37+'Свод '!DG37+'Свод '!DK37+'Свод '!DQ37+'Свод '!FC37+'Свод '!FI37+'Свод '!HE37+'Свод '!HQ37+'Свод '!HY37+Лист1!S37+Лист1!AE37+Y37</f>
        <v>2779.9999999999995</v>
      </c>
      <c r="AH37" s="42">
        <f>'Свод '!B37+'Свод '!D37+'Свод '!F37+'Свод '!H37</f>
        <v>2632.9999999999995</v>
      </c>
      <c r="AI37" s="42">
        <f>'Свод '!C37+'Свод '!E37+'Свод '!G37+'Свод '!I37</f>
        <v>2632.9999999999995</v>
      </c>
      <c r="AJ37" s="39">
        <f>'Свод '!AB37+'Свод '!AD37+'Свод '!AL37+'Свод '!AN37+'Свод '!AP37+'Свод '!BD37+'Свод '!BF37+'Свод '!BH37+'Свод '!BJ37+'Свод '!BL37+'Свод '!BN37+'Свод '!BP37+'Свод '!BR37+'Свод '!BT37+'Свод '!BV37+'Свод '!BX37+'Свод '!BZ37+'Свод '!CH37+'Свод '!CJ37+'Свод '!CL37+'Свод '!CN37+'Свод '!CP37+'Свод '!CR37+'Свод '!CT37+'Свод '!CV37+'Свод '!CX37+'Свод '!CZ37+'Свод '!DB37+'Свод '!DH37+'Свод '!DN37+'Свод '!DR37+'Свод '!DT37+'Свод '!DV37+'Свод '!DX37+'Свод '!DZ37+'Свод '!EB37+'Свод '!ED37+'Свод '!EF37+'Свод '!EH37+'Свод '!EJ37+'Свод '!EL37+'Свод '!FJ37+'Свод '!FL37+'Свод '!FN37+'Свод '!FP37+'Свод '!FR37+'Свод '!FT37+'Свод '!FV37+'Свод '!FX37+'Свод '!FZ37+'Свод '!GB37+'Свод '!GD37+'Свод '!GF37+'Свод '!GH37+'Свод '!HF37+'Свод '!HH37+'Свод '!HJ37+'Свод '!HL37+'Свод '!HN37+'Свод '!HR37+Лист1!B37+Лист1!D37+Лист1!F37+Лист1!H37+Лист1!J37+Лист1!L37+Лист1!N37+Лист1!P37+'Свод '!DL37</f>
        <v>0</v>
      </c>
      <c r="AK37" s="39">
        <f>'Свод '!AC37+'Свод '!AE37+'Свод '!AM37+'Свод '!AO37+'Свод '!AQ37+'Свод '!BE37+'Свод '!BG37+'Свод '!BI37+'Свод '!BK37+'Свод '!BM37+'Свод '!BO37+'Свод '!BQ37+'Свод '!BS37+'Свод '!BU37+'Свод '!BW37+'Свод '!BY37+'Свод '!CA37+'Свод '!CI37+'Свод '!CK37+'Свод '!CM37+'Свод '!CO37+'Свод '!CQ37+'Свод '!CS37+'Свод '!CU37+'Свод '!CW37+'Свод '!CY37+'Свод '!DA37+'Свод '!DC37+'Свод '!DI37+'Свод '!DO37+'Свод '!DS37+'Свод '!DU37+'Свод '!DW37+'Свод '!DY37+'Свод '!EA37+'Свод '!EC37+'Свод '!EE37+'Свод '!EG37+'Свод '!EI37+'Свод '!EK37+'Свод '!EM37+'Свод '!FK37+'Свод '!FM37+'Свод '!FO37+'Свод '!FQ37+'Свод '!FS37+'Свод '!FU37+'Свод '!FW37+'Свод '!FY37+'Свод '!GA37+'Свод '!GC37+'Свод '!GE37+'Свод '!GG37+'Свод '!GI37+'Свод '!HG37+'Свод '!HI37+'Свод '!HK37+'Свод '!HM37+'Свод '!HO37+'Свод '!HS37+Лист1!C37+Лист1!E37+Лист1!G37+Лист1!I37+Лист1!K37+Лист1!M37+Лист1!O37+Лист1!Q37+'Свод '!DM37</f>
        <v>0</v>
      </c>
      <c r="AL37" s="144">
        <f>'Свод '!AF37+'Свод '!AJ37+'Свод '!BB37+'Свод '!CB37+'Свод '!CD37+'Свод '!EN37+'Свод '!FD37+'Свод '!FF37+'Свод '!GJ37+'Свод '!GL37+'Свод '!GN37+'Свод '!GP37+'Свод '!GR37+'Свод '!GT37+'Свод '!GV37+'Свод '!GX37+'Свод '!HT37+'Свод '!HV37</f>
        <v>147</v>
      </c>
      <c r="AM37" s="42">
        <f>'Свод '!AG37+'Свод '!AK37+'Свод '!BC37+'Свод '!CC37+'Свод '!CE37+'Свод '!EO37+'Свод '!FE37+'Свод '!FG37+'Свод '!GK37+'Свод '!GM37+'Свод '!GO37+'Свод '!GQ37+'Свод '!GS37+'Свод '!GU37+'Свод '!GW37+'Свод '!GY37+'Свод '!HU37+'Свод '!HW37</f>
        <v>147</v>
      </c>
      <c r="AN37" s="42">
        <f>'Свод '!J37+'Свод '!L37+'Свод '!N37+'Свод '!P37+'Свод '!R37+'Свод '!T37+'Свод '!V37+'Свод '!X37+'Свод '!Z37+'Свод '!AR37+'Свод '!AT37+'Свод '!AV37+'Свод '!AX37+'Свод '!DD37+'Свод '!EP37+'Свод '!ER37+'Свод '!ET37+'Свод '!EV37+'Свод '!EX37+'Свод '!EZ37+'Свод '!GZ37+'Свод '!HB37+T37+V37+Z37+AB37</f>
        <v>0</v>
      </c>
      <c r="AO37" s="42">
        <f>'Свод '!K37+'Свод '!M37+'Свод '!O37+'Свод '!Q37+'Свод '!S37+'Свод '!U37+'Свод '!W37+'Свод '!Y37+'Свод '!AA37+'Свод '!AS37+'Свод '!AU37+'Свод '!AW37+'Свод '!AY37+'Свод '!DE37+'Свод '!EQ37+'Свод '!ES37+'Свод '!EU37+'Свод '!EW37+'Свод '!EY37+'Свод '!FA37+'Свод '!HA37+'Свод '!HC37+U37+W37+AA37+AC37</f>
        <v>0</v>
      </c>
    </row>
    <row r="38" spans="1:41" ht="12.75" customHeight="1">
      <c r="A38" s="108" t="s">
        <v>146</v>
      </c>
      <c r="B38" s="104">
        <v>0</v>
      </c>
      <c r="C38" s="42">
        <v>0</v>
      </c>
      <c r="D38" s="40">
        <f>SUM(D39:D43)</f>
        <v>0</v>
      </c>
      <c r="E38" s="40">
        <f>SUM(E39:E43)</f>
        <v>0</v>
      </c>
      <c r="F38" s="43">
        <v>48</v>
      </c>
      <c r="G38" s="46">
        <v>34.2969</v>
      </c>
      <c r="H38" s="40">
        <f>SUM(H39:H43)</f>
        <v>0</v>
      </c>
      <c r="I38" s="40">
        <f>SUM(I39:I43)</f>
        <v>0</v>
      </c>
      <c r="J38" s="104">
        <v>0</v>
      </c>
      <c r="K38" s="42">
        <v>0</v>
      </c>
      <c r="L38" s="47">
        <v>0</v>
      </c>
      <c r="M38" s="47">
        <v>0</v>
      </c>
      <c r="N38" s="47">
        <f>SUM(N39:N43)</f>
        <v>0</v>
      </c>
      <c r="O38" s="47">
        <f>SUM(O39:O43)</f>
        <v>0</v>
      </c>
      <c r="P38" s="47">
        <f>SUM(P39:P43)</f>
        <v>0</v>
      </c>
      <c r="Q38" s="47">
        <f>SUM(Q39:Q43)</f>
        <v>0</v>
      </c>
      <c r="R38" s="42">
        <f t="shared" si="1"/>
        <v>48</v>
      </c>
      <c r="S38" s="42">
        <f t="shared" si="2"/>
        <v>34.2969</v>
      </c>
      <c r="T38" s="42">
        <v>0</v>
      </c>
      <c r="U38" s="42">
        <v>0</v>
      </c>
      <c r="V38" s="40">
        <v>0</v>
      </c>
      <c r="W38" s="40">
        <v>0</v>
      </c>
      <c r="X38" s="42">
        <f t="shared" si="3"/>
        <v>0</v>
      </c>
      <c r="Y38" s="42">
        <f t="shared" si="4"/>
        <v>0</v>
      </c>
      <c r="Z38" s="42">
        <v>0</v>
      </c>
      <c r="AA38" s="42">
        <v>0</v>
      </c>
      <c r="AB38" s="40">
        <v>0</v>
      </c>
      <c r="AC38" s="40">
        <v>0</v>
      </c>
      <c r="AD38" s="42">
        <f t="shared" si="5"/>
        <v>0</v>
      </c>
      <c r="AE38" s="42">
        <f t="shared" si="6"/>
        <v>0</v>
      </c>
      <c r="AF38" s="42">
        <f>'Свод '!AH38+'Свод '!AZ38+'Свод '!BB38+'Свод '!CF38+'Свод '!DF38+'Свод '!DJ38+'Свод '!DP38+'Свод '!FB38+'Свод '!FH38+'Свод '!HD38+'Свод '!HP38+'Свод '!HX38+Лист1!R38+Лист1!AD38+X38</f>
        <v>350203.12298999995</v>
      </c>
      <c r="AG38" s="42">
        <f>'Свод '!AI38+'Свод '!BA38+'Свод '!BC38+'Свод '!CG38+'Свод '!DG38+'Свод '!DK38+'Свод '!DQ38+'Свод '!FC38+'Свод '!FI38+'Свод '!HE38+'Свод '!HQ38+'Свод '!HY38+Лист1!S38+Лист1!AE38+Y38</f>
        <v>348800.00044000003</v>
      </c>
      <c r="AH38" s="42">
        <f>'Свод '!B38+'Свод '!D38+'Свод '!F38+'Свод '!H38</f>
        <v>94497</v>
      </c>
      <c r="AI38" s="42">
        <f>'Свод '!C38+'Свод '!E38+'Свод '!G38+'Свод '!I38</f>
        <v>94497</v>
      </c>
      <c r="AJ38" s="39">
        <f>'Свод '!AB38+'Свод '!AD38+'Свод '!AL38+'Свод '!AN38+'Свод '!AP38+'Свод '!BD38+'Свод '!BF38+'Свод '!BH38+'Свод '!BJ38+'Свод '!BL38+'Свод '!BN38+'Свод '!BP38+'Свод '!BR38+'Свод '!BT38+'Свод '!BV38+'Свод '!BX38+'Свод '!BZ38+'Свод '!CH38+'Свод '!CJ38+'Свод '!CL38+'Свод '!CN38+'Свод '!CP38+'Свод '!CR38+'Свод '!CT38+'Свод '!CV38+'Свод '!CX38+'Свод '!CZ38+'Свод '!DB38+'Свод '!DH38+'Свод '!DN38+'Свод '!DR38+'Свод '!DT38+'Свод '!DV38+'Свод '!DX38+'Свод '!DZ38+'Свод '!EB38+'Свод '!ED38+'Свод '!EF38+'Свод '!EH38+'Свод '!EJ38+'Свод '!EL38+'Свод '!FJ38+'Свод '!FL38+'Свод '!FN38+'Свод '!FP38+'Свод '!FR38+'Свод '!FT38+'Свод '!FV38+'Свод '!FX38+'Свод '!FZ38+'Свод '!GB38+'Свод '!GD38+'Свод '!GF38+'Свод '!GH38+'Свод '!HF38+'Свод '!HH38+'Свод '!HJ38+'Свод '!HL38+'Свод '!HN38+'Свод '!HR38+Лист1!B38+Лист1!D38+Лист1!F38+Лист1!H38+Лист1!J38+Лист1!L38+Лист1!N38+Лист1!P38+'Свод '!DL38</f>
        <v>69189.69717999999</v>
      </c>
      <c r="AK38" s="39">
        <f>'Свод '!AC38+'Свод '!AE38+'Свод '!AM38+'Свод '!AO38+'Свод '!AQ38+'Свод '!BE38+'Свод '!BG38+'Свод '!BI38+'Свод '!BK38+'Свод '!BM38+'Свод '!BO38+'Свод '!BQ38+'Свод '!BS38+'Свод '!BU38+'Свод '!BW38+'Свод '!BY38+'Свод '!CA38+'Свод '!CI38+'Свод '!CK38+'Свод '!CM38+'Свод '!CO38+'Свод '!CQ38+'Свод '!CS38+'Свод '!CU38+'Свод '!CW38+'Свод '!CY38+'Свод '!DA38+'Свод '!DC38+'Свод '!DI38+'Свод '!DO38+'Свод '!DS38+'Свод '!DU38+'Свод '!DW38+'Свод '!DY38+'Свод '!EA38+'Свод '!EC38+'Свод '!EE38+'Свод '!EG38+'Свод '!EI38+'Свод '!EK38+'Свод '!EM38+'Свод '!FK38+'Свод '!FM38+'Свод '!FO38+'Свод '!FQ38+'Свод '!FS38+'Свод '!FU38+'Свод '!FW38+'Свод '!FY38+'Свод '!GA38+'Свод '!GC38+'Свод '!GE38+'Свод '!GG38+'Свод '!GI38+'Свод '!HG38+'Свод '!HI38+'Свод '!HK38+'Свод '!HM38+'Свод '!HO38+'Свод '!HS38+Лист1!C38+Лист1!E38+Лист1!G38+Лист1!I38+Лист1!K38+Лист1!M38+Лист1!O38+Лист1!Q38+'Свод '!DM38</f>
        <v>67798.21608</v>
      </c>
      <c r="AL38" s="144">
        <f>'Свод '!AF38+'Свод '!AJ38+'Свод '!BB38+'Свод '!CB38+'Свод '!CD38+'Свод '!EN38+'Свод '!FD38+'Свод '!FF38+'Свод '!GJ38+'Свод '!GL38+'Свод '!GN38+'Свод '!GP38+'Свод '!GR38+'Свод '!GT38+'Свод '!GV38+'Свод '!GX38+'Свод '!HT38+'Свод '!HV38</f>
        <v>127485.603</v>
      </c>
      <c r="AM38" s="42">
        <f>'Свод '!AG38+'Свод '!AK38+'Свод '!BC38+'Свод '!CC38+'Свод '!CE38+'Свод '!EO38+'Свод '!FE38+'Свод '!FG38+'Свод '!GK38+'Свод '!GM38+'Свод '!GO38+'Свод '!GQ38+'Свод '!GS38+'Свод '!GU38+'Свод '!GW38+'Свод '!GY38+'Свод '!HU38+'Свод '!HW38</f>
        <v>127474.003</v>
      </c>
      <c r="AN38" s="42">
        <f>'Свод '!J38+'Свод '!L38+'Свод '!N38+'Свод '!P38+'Свод '!R38+'Свод '!T38+'Свод '!V38+'Свод '!X38+'Свод '!Z38+'Свод '!AR38+'Свод '!AT38+'Свод '!AV38+'Свод '!AX38+'Свод '!DD38+'Свод '!EP38+'Свод '!ER38+'Свод '!ET38+'Свод '!EV38+'Свод '!EX38+'Свод '!EZ38+'Свод '!GZ38+'Свод '!HB38+T38+V38+Z38+AB38</f>
        <v>59030.822810000005</v>
      </c>
      <c r="AO38" s="42">
        <f>'Свод '!K38+'Свод '!M38+'Свод '!O38+'Свод '!Q38+'Свод '!S38+'Свод '!U38+'Свод '!W38+'Свод '!Y38+'Свод '!AA38+'Свод '!AS38+'Свод '!AU38+'Свод '!AW38+'Свод '!AY38+'Свод '!DE38+'Свод '!EQ38+'Свод '!ES38+'Свод '!EU38+'Свод '!EW38+'Свод '!EY38+'Свод '!FA38+'Свод '!HA38+'Свод '!HC38+U38+W38+AA38+AC38</f>
        <v>59030.78136</v>
      </c>
    </row>
    <row r="39" spans="1:41" ht="12.75">
      <c r="A39" s="103" t="s">
        <v>156</v>
      </c>
      <c r="B39" s="104"/>
      <c r="C39" s="42"/>
      <c r="D39" s="40"/>
      <c r="E39" s="40"/>
      <c r="F39" s="43">
        <v>30</v>
      </c>
      <c r="G39" s="42">
        <v>19.2717</v>
      </c>
      <c r="H39" s="40"/>
      <c r="I39" s="40"/>
      <c r="J39" s="105"/>
      <c r="K39" s="42"/>
      <c r="L39" s="40"/>
      <c r="M39" s="40"/>
      <c r="N39" s="40"/>
      <c r="O39" s="40"/>
      <c r="P39" s="40"/>
      <c r="Q39" s="40"/>
      <c r="R39" s="42">
        <f t="shared" si="1"/>
        <v>30</v>
      </c>
      <c r="S39" s="42">
        <f t="shared" si="2"/>
        <v>19.2717</v>
      </c>
      <c r="T39" s="42"/>
      <c r="U39" s="42"/>
      <c r="V39" s="40"/>
      <c r="W39" s="40"/>
      <c r="X39" s="42">
        <f t="shared" si="3"/>
        <v>0</v>
      </c>
      <c r="Y39" s="42">
        <f t="shared" si="4"/>
        <v>0</v>
      </c>
      <c r="Z39" s="42"/>
      <c r="AA39" s="42"/>
      <c r="AB39" s="40"/>
      <c r="AC39" s="40"/>
      <c r="AD39" s="42">
        <f t="shared" si="5"/>
        <v>0</v>
      </c>
      <c r="AE39" s="42">
        <f t="shared" si="6"/>
        <v>0</v>
      </c>
      <c r="AF39" s="42">
        <f>'Свод '!AH39+'Свод '!AZ39+'Свод '!BB39+'Свод '!CF39+'Свод '!DF39+'Свод '!DJ39+'Свод '!DP39+'Свод '!FB39+'Свод '!FH39+'Свод '!HD39+'Свод '!HP39+'Свод '!HX39+Лист1!R39+Лист1!AD39+X39</f>
        <v>295961.245</v>
      </c>
      <c r="AG39" s="42">
        <f>'Свод '!AI39+'Свод '!BA39+'Свод '!BC39+'Свод '!CG39+'Свод '!DG39+'Свод '!DK39+'Свод '!DQ39+'Свод '!FC39+'Свод '!FI39+'Свод '!HE39+'Свод '!HQ39+'Свод '!HY39+Лист1!S39+Лист1!AE39+Y39</f>
        <v>294561.13869999995</v>
      </c>
      <c r="AH39" s="42">
        <f>'Свод '!B39+'Свод '!D39+'Свод '!F39+'Свод '!H39</f>
        <v>79362</v>
      </c>
      <c r="AI39" s="42">
        <f>'Свод '!C39+'Свод '!E39+'Свод '!G39+'Свод '!I39</f>
        <v>79362</v>
      </c>
      <c r="AJ39" s="39">
        <f>'Свод '!AB39+'Свод '!AD39+'Свод '!AL39+'Свод '!AN39+'Свод '!AP39+'Свод '!BD39+'Свод '!BF39+'Свод '!BH39+'Свод '!BJ39+'Свод '!BL39+'Свод '!BN39+'Свод '!BP39+'Свод '!BR39+'Свод '!BT39+'Свод '!BV39+'Свод '!BX39+'Свод '!BZ39+'Свод '!CH39+'Свод '!CJ39+'Свод '!CL39+'Свод '!CN39+'Свод '!CP39+'Свод '!CR39+'Свод '!CT39+'Свод '!CV39+'Свод '!CX39+'Свод '!CZ39+'Свод '!DB39+'Свод '!DH39+'Свод '!DN39+'Свод '!DR39+'Свод '!DT39+'Свод '!DV39+'Свод '!DX39+'Свод '!DZ39+'Свод '!EB39+'Свод '!ED39+'Свод '!EF39+'Свод '!EH39+'Свод '!EJ39+'Свод '!EL39+'Свод '!FJ39+'Свод '!FL39+'Свод '!FN39+'Свод '!FP39+'Свод '!FR39+'Свод '!FT39+'Свод '!FV39+'Свод '!FX39+'Свод '!FZ39+'Свод '!GB39+'Свод '!GD39+'Свод '!GF39+'Свод '!GH39+'Свод '!HF39+'Свод '!HH39+'Свод '!HJ39+'Свод '!HL39+'Свод '!HN39+'Свод '!HR39+Лист1!B39+Лист1!D39+Лист1!F39+Лист1!H39+Лист1!J39+Лист1!L39+Лист1!N39+Лист1!P39+'Свод '!DL39</f>
        <v>33061.342</v>
      </c>
      <c r="AK39" s="39">
        <f>'Свод '!AC39+'Свод '!AE39+'Свод '!AM39+'Свод '!AO39+'Свод '!AQ39+'Свод '!BE39+'Свод '!BG39+'Свод '!BI39+'Свод '!BK39+'Свод '!BM39+'Свод '!BO39+'Свод '!BQ39+'Свод '!BS39+'Свод '!BU39+'Свод '!BW39+'Свод '!BY39+'Свод '!CA39+'Свод '!CI39+'Свод '!CK39+'Свод '!CM39+'Свод '!CO39+'Свод '!CQ39+'Свод '!CS39+'Свод '!CU39+'Свод '!CW39+'Свод '!CY39+'Свод '!DA39+'Свод '!DC39+'Свод '!DI39+'Свод '!DO39+'Свод '!DS39+'Свод '!DU39+'Свод '!DW39+'Свод '!DY39+'Свод '!EA39+'Свод '!EC39+'Свод '!EE39+'Свод '!EG39+'Свод '!EI39+'Свод '!EK39+'Свод '!EM39+'Свод '!FK39+'Свод '!FM39+'Свод '!FO39+'Свод '!FQ39+'Свод '!FS39+'Свод '!FU39+'Свод '!FW39+'Свод '!FY39+'Свод '!GA39+'Свод '!GC39+'Свод '!GE39+'Свод '!GG39+'Свод '!GI39+'Свод '!HG39+'Свод '!HI39+'Свод '!HK39+'Свод '!HM39+'Свод '!HO39+'Свод '!HS39+Лист1!C39+Лист1!E39+Лист1!G39+Лист1!I39+Лист1!K39+Лист1!M39+Лист1!O39+Лист1!Q39+'Свод '!DM39</f>
        <v>31672.8357</v>
      </c>
      <c r="AL39" s="144">
        <f>'Свод '!AF39+'Свод '!AJ39+'Свод '!BB39+'Свод '!CB39+'Свод '!CD39+'Свод '!EN39+'Свод '!FD39+'Свод '!FF39+'Свод '!GJ39+'Свод '!GL39+'Свод '!GN39+'Свод '!GP39+'Свод '!GR39+'Свод '!GT39+'Свод '!GV39+'Свод '!GX39+'Свод '!HT39+'Свод '!HV39</f>
        <v>127044.603</v>
      </c>
      <c r="AM39" s="42">
        <f>'Свод '!AG39+'Свод '!AK39+'Свод '!BC39+'Свод '!CC39+'Свод '!CE39+'Свод '!EO39+'Свод '!FE39+'Свод '!FG39+'Свод '!GK39+'Свод '!GM39+'Свод '!GO39+'Свод '!GQ39+'Свод '!GS39+'Свод '!GU39+'Свод '!GW39+'Свод '!GY39+'Свод '!HU39+'Свод '!HW39</f>
        <v>127033.003</v>
      </c>
      <c r="AN39" s="42">
        <f>'Свод '!J39+'Свод '!L39+'Свод '!N39+'Свод '!P39+'Свод '!R39+'Свод '!T39+'Свод '!V39+'Свод '!X39+'Свод '!Z39+'Свод '!AR39+'Свод '!AT39+'Свод '!AV39+'Свод '!AX39+'Свод '!DD39+'Свод '!EP39+'Свод '!ER39+'Свод '!ET39+'Свод '!EV39+'Свод '!EX39+'Свод '!EZ39+'Свод '!GZ39+'Свод '!HB39+T39+V39+Z39+AB39</f>
        <v>56493.3</v>
      </c>
      <c r="AO39" s="42">
        <f>'Свод '!K39+'Свод '!M39+'Свод '!O39+'Свод '!Q39+'Свод '!S39+'Свод '!U39+'Свод '!W39+'Свод '!Y39+'Свод '!AA39+'Свод '!AS39+'Свод '!AU39+'Свод '!AW39+'Свод '!AY39+'Свод '!DE39+'Свод '!EQ39+'Свод '!ES39+'Свод '!EU39+'Свод '!EW39+'Свод '!EY39+'Свод '!FA39+'Свод '!HA39+'Свод '!HC39+U39+W39+AA39+AC39</f>
        <v>56493.3</v>
      </c>
    </row>
    <row r="40" spans="1:41" ht="12.75" customHeight="1">
      <c r="A40" s="109" t="s">
        <v>209</v>
      </c>
      <c r="B40" s="104"/>
      <c r="C40" s="42"/>
      <c r="D40" s="40"/>
      <c r="E40" s="40"/>
      <c r="F40" s="43">
        <v>18</v>
      </c>
      <c r="G40" s="42">
        <v>15.0252</v>
      </c>
      <c r="H40" s="40"/>
      <c r="I40" s="40"/>
      <c r="J40" s="110"/>
      <c r="K40" s="42"/>
      <c r="L40" s="40"/>
      <c r="M40" s="40"/>
      <c r="N40" s="40"/>
      <c r="O40" s="40"/>
      <c r="P40" s="40"/>
      <c r="Q40" s="40"/>
      <c r="R40" s="42">
        <f t="shared" si="1"/>
        <v>18</v>
      </c>
      <c r="S40" s="42">
        <f t="shared" si="2"/>
        <v>15.0252</v>
      </c>
      <c r="T40" s="42"/>
      <c r="U40" s="42"/>
      <c r="V40" s="40"/>
      <c r="W40" s="40"/>
      <c r="X40" s="42">
        <f t="shared" si="3"/>
        <v>0</v>
      </c>
      <c r="Y40" s="42">
        <f t="shared" si="4"/>
        <v>0</v>
      </c>
      <c r="Z40" s="42"/>
      <c r="AA40" s="42"/>
      <c r="AB40" s="40"/>
      <c r="AC40" s="40"/>
      <c r="AD40" s="42">
        <f t="shared" si="5"/>
        <v>0</v>
      </c>
      <c r="AE40" s="42">
        <f t="shared" si="6"/>
        <v>0</v>
      </c>
      <c r="AF40" s="42">
        <f>'Свод '!AH40+'Свод '!AZ40+'Свод '!BB40+'Свод '!CF40+'Свод '!DF40+'Свод '!DJ40+'Свод '!DP40+'Свод '!FB40+'Свод '!FH40+'Свод '!HD40+'Свод '!HP40+'Свод '!HX40+Лист1!R40+Лист1!AD40+X40</f>
        <v>21963.34261</v>
      </c>
      <c r="AG40" s="42">
        <f>'Свод '!AI40+'Свод '!BA40+'Свод '!BC40+'Свод '!CG40+'Свод '!DG40+'Свод '!DK40+'Свод '!DQ40+'Свод '!FC40+'Свод '!FI40+'Свод '!HE40+'Свод '!HQ40+'Свод '!HY40+Лист1!S40+Лист1!AE40+Y40</f>
        <v>21960.36781</v>
      </c>
      <c r="AH40" s="42">
        <f>'Свод '!B40+'Свод '!D40+'Свод '!F40+'Свод '!H40</f>
        <v>2295</v>
      </c>
      <c r="AI40" s="42">
        <f>'Свод '!C40+'Свод '!E40+'Свод '!G40+'Свод '!I40</f>
        <v>2295</v>
      </c>
      <c r="AJ40" s="39">
        <f>'Свод '!AB40+'Свод '!AD40+'Свод '!AL40+'Свод '!AN40+'Свод '!AP40+'Свод '!BD40+'Свод '!BF40+'Свод '!BH40+'Свод '!BJ40+'Свод '!BL40+'Свод '!BN40+'Свод '!BP40+'Свод '!BR40+'Свод '!BT40+'Свод '!BV40+'Свод '!BX40+'Свод '!BZ40+'Свод '!CH40+'Свод '!CJ40+'Свод '!CL40+'Свод '!CN40+'Свод '!CP40+'Свод '!CR40+'Свод '!CT40+'Свод '!CV40+'Свод '!CX40+'Свод '!CZ40+'Свод '!DB40+'Свод '!DH40+'Свод '!DN40+'Свод '!DR40+'Свод '!DT40+'Свод '!DV40+'Свод '!DX40+'Свод '!DZ40+'Свод '!EB40+'Свод '!ED40+'Свод '!EF40+'Свод '!EH40+'Свод '!EJ40+'Свод '!EL40+'Свод '!FJ40+'Свод '!FL40+'Свод '!FN40+'Свод '!FP40+'Свод '!FR40+'Свод '!FT40+'Свод '!FV40+'Свод '!FX40+'Свод '!FZ40+'Свод '!GB40+'Свод '!GD40+'Свод '!GF40+'Свод '!GH40+'Свод '!HF40+'Свод '!HH40+'Свод '!HJ40+'Свод '!HL40+'Свод '!HN40+'Свод '!HR40+Лист1!B40+Лист1!D40+Лист1!F40+Лист1!H40+Лист1!J40+Лист1!L40+Лист1!N40+Лист1!P40+'Свод '!DL40</f>
        <v>19668.34261</v>
      </c>
      <c r="AK40" s="39">
        <f>'Свод '!AC40+'Свод '!AE40+'Свод '!AM40+'Свод '!AO40+'Свод '!AQ40+'Свод '!BE40+'Свод '!BG40+'Свод '!BI40+'Свод '!BK40+'Свод '!BM40+'Свод '!BO40+'Свод '!BQ40+'Свод '!BS40+'Свод '!BU40+'Свод '!BW40+'Свод '!BY40+'Свод '!CA40+'Свод '!CI40+'Свод '!CK40+'Свод '!CM40+'Свод '!CO40+'Свод '!CQ40+'Свод '!CS40+'Свод '!CU40+'Свод '!CW40+'Свод '!CY40+'Свод '!DA40+'Свод '!DC40+'Свод '!DI40+'Свод '!DO40+'Свод '!DS40+'Свод '!DU40+'Свод '!DW40+'Свод '!DY40+'Свод '!EA40+'Свод '!EC40+'Свод '!EE40+'Свод '!EG40+'Свод '!EI40+'Свод '!EK40+'Свод '!EM40+'Свод '!FK40+'Свод '!FM40+'Свод '!FO40+'Свод '!FQ40+'Свод '!FS40+'Свод '!FU40+'Свод '!FW40+'Свод '!FY40+'Свод '!GA40+'Свод '!GC40+'Свод '!GE40+'Свод '!GG40+'Свод '!GI40+'Свод '!HG40+'Свод '!HI40+'Свод '!HK40+'Свод '!HM40+'Свод '!HO40+'Свод '!HS40+Лист1!C40+Лист1!E40+Лист1!G40+Лист1!I40+Лист1!K40+Лист1!M40+Лист1!O40+Лист1!Q40+'Свод '!DM40</f>
        <v>19665.36781</v>
      </c>
      <c r="AL40" s="144">
        <f>'Свод '!AF40+'Свод '!AJ40+'Свод '!BB40+'Свод '!CB40+'Свод '!CD40+'Свод '!EN40+'Свод '!FD40+'Свод '!FF40+'Свод '!GJ40+'Свод '!GL40+'Свод '!GN40+'Свод '!GP40+'Свод '!GR40+'Свод '!GT40+'Свод '!GV40+'Свод '!GX40+'Свод '!HT40+'Свод '!HV40</f>
        <v>0</v>
      </c>
      <c r="AM40" s="42">
        <f>'Свод '!AG40+'Свод '!AK40+'Свод '!BC40+'Свод '!CC40+'Свод '!CE40+'Свод '!EO40+'Свод '!FE40+'Свод '!FG40+'Свод '!GK40+'Свод '!GM40+'Свод '!GO40+'Свод '!GQ40+'Свод '!GS40+'Свод '!GU40+'Свод '!GW40+'Свод '!GY40+'Свод '!HU40+'Свод '!HW40</f>
        <v>0</v>
      </c>
      <c r="AN40" s="42">
        <f>'Свод '!J40+'Свод '!L40+'Свод '!N40+'Свод '!P40+'Свод '!R40+'Свод '!T40+'Свод '!V40+'Свод '!X40+'Свод '!Z40+'Свод '!AR40+'Свод '!AT40+'Свод '!AV40+'Свод '!AX40+'Свод '!DD40+'Свод '!EP40+'Свод '!ER40+'Свод '!ET40+'Свод '!EV40+'Свод '!EX40+'Свод '!EZ40+'Свод '!GZ40+'Свод '!HB40+T40+V40+Z40+AB40</f>
        <v>0</v>
      </c>
      <c r="AO40" s="42">
        <f>'Свод '!K40+'Свод '!M40+'Свод '!O40+'Свод '!Q40+'Свод '!S40+'Свод '!U40+'Свод '!W40+'Свод '!Y40+'Свод '!AA40+'Свод '!AS40+'Свод '!AU40+'Свод '!AW40+'Свод '!AY40+'Свод '!DE40+'Свод '!EQ40+'Свод '!ES40+'Свод '!EU40+'Свод '!EW40+'Свод '!EY40+'Свод '!FA40+'Свод '!HA40+'Свод '!HC40+U40+W40+AA40+AC40</f>
        <v>0</v>
      </c>
    </row>
    <row r="41" spans="1:41" ht="12.75">
      <c r="A41" s="109" t="s">
        <v>231</v>
      </c>
      <c r="B41" s="104"/>
      <c r="C41" s="42"/>
      <c r="D41" s="40"/>
      <c r="E41" s="40"/>
      <c r="F41" s="43"/>
      <c r="G41" s="46"/>
      <c r="H41" s="40"/>
      <c r="I41" s="40"/>
      <c r="J41" s="110"/>
      <c r="K41" s="42"/>
      <c r="L41" s="40"/>
      <c r="M41" s="40"/>
      <c r="N41" s="40"/>
      <c r="O41" s="40"/>
      <c r="P41" s="40"/>
      <c r="Q41" s="40"/>
      <c r="R41" s="42">
        <f t="shared" si="1"/>
        <v>0</v>
      </c>
      <c r="S41" s="42">
        <f t="shared" si="2"/>
        <v>0</v>
      </c>
      <c r="T41" s="42"/>
      <c r="U41" s="42"/>
      <c r="V41" s="40"/>
      <c r="W41" s="40"/>
      <c r="X41" s="42">
        <f t="shared" si="3"/>
        <v>0</v>
      </c>
      <c r="Y41" s="42">
        <f t="shared" si="4"/>
        <v>0</v>
      </c>
      <c r="Z41" s="42"/>
      <c r="AA41" s="42"/>
      <c r="AB41" s="40"/>
      <c r="AC41" s="40"/>
      <c r="AD41" s="42">
        <f t="shared" si="5"/>
        <v>0</v>
      </c>
      <c r="AE41" s="42">
        <f t="shared" si="6"/>
        <v>0</v>
      </c>
      <c r="AF41" s="42">
        <f>'Свод '!AH41+'Свод '!AZ41+'Свод '!BB41+'Свод '!CF41+'Свод '!DF41+'Свод '!DJ41+'Свод '!DP41+'Свод '!FB41+'Свод '!FH41+'Свод '!HD41+'Свод '!HP41+'Свод '!HX41+Лист1!R41+Лист1!AD41+X41</f>
        <v>19374.01257</v>
      </c>
      <c r="AG41" s="42">
        <f>'Свод '!AI41+'Свод '!BA41+'Свод '!BC41+'Свод '!CG41+'Свод '!DG41+'Свод '!DK41+'Свод '!DQ41+'Свод '!FC41+'Свод '!FI41+'Свод '!HE41+'Свод '!HQ41+'Свод '!HY41+Лист1!S41+Лист1!AE41+Y41</f>
        <v>19374.01257</v>
      </c>
      <c r="AH41" s="42">
        <f>'Свод '!B41+'Свод '!D41+'Свод '!F41+'Свод '!H41</f>
        <v>2616.9999999999995</v>
      </c>
      <c r="AI41" s="42">
        <f>'Свод '!C41+'Свод '!E41+'Свод '!G41+'Свод '!I41</f>
        <v>2616.9999999999995</v>
      </c>
      <c r="AJ41" s="39">
        <f>'Свод '!AB41+'Свод '!AD41+'Свод '!AL41+'Свод '!AN41+'Свод '!AP41+'Свод '!BD41+'Свод '!BF41+'Свод '!BH41+'Свод '!BJ41+'Свод '!BL41+'Свод '!BN41+'Свод '!BP41+'Свод '!BR41+'Свод '!BT41+'Свод '!BV41+'Свод '!BX41+'Свод '!BZ41+'Свод '!CH41+'Свод '!CJ41+'Свод '!CL41+'Свод '!CN41+'Свод '!CP41+'Свод '!CR41+'Свод '!CT41+'Свод '!CV41+'Свод '!CX41+'Свод '!CZ41+'Свод '!DB41+'Свод '!DH41+'Свод '!DN41+'Свод '!DR41+'Свод '!DT41+'Свод '!DV41+'Свод '!DX41+'Свод '!DZ41+'Свод '!EB41+'Свод '!ED41+'Свод '!EF41+'Свод '!EH41+'Свод '!EJ41+'Свод '!EL41+'Свод '!FJ41+'Свод '!FL41+'Свод '!FN41+'Свод '!FP41+'Свод '!FR41+'Свод '!FT41+'Свод '!FV41+'Свод '!FX41+'Свод '!FZ41+'Свод '!GB41+'Свод '!GD41+'Свод '!GF41+'Свод '!GH41+'Свод '!HF41+'Свод '!HH41+'Свод '!HJ41+'Свод '!HL41+'Свод '!HN41+'Свод '!HR41+Лист1!B41+Лист1!D41+Лист1!F41+Лист1!H41+Лист1!J41+Лист1!L41+Лист1!N41+Лист1!P41+'Свод '!DL41</f>
        <v>16460.01257</v>
      </c>
      <c r="AK41" s="39">
        <f>'Свод '!AC41+'Свод '!AE41+'Свод '!AM41+'Свод '!AO41+'Свод '!AQ41+'Свод '!BE41+'Свод '!BG41+'Свод '!BI41+'Свод '!BK41+'Свод '!BM41+'Свод '!BO41+'Свод '!BQ41+'Свод '!BS41+'Свод '!BU41+'Свод '!BW41+'Свод '!BY41+'Свод '!CA41+'Свод '!CI41+'Свод '!CK41+'Свод '!CM41+'Свод '!CO41+'Свод '!CQ41+'Свод '!CS41+'Свод '!CU41+'Свод '!CW41+'Свод '!CY41+'Свод '!DA41+'Свод '!DC41+'Свод '!DI41+'Свод '!DO41+'Свод '!DS41+'Свод '!DU41+'Свод '!DW41+'Свод '!DY41+'Свод '!EA41+'Свод '!EC41+'Свод '!EE41+'Свод '!EG41+'Свод '!EI41+'Свод '!EK41+'Свод '!EM41+'Свод '!FK41+'Свод '!FM41+'Свод '!FO41+'Свод '!FQ41+'Свод '!FS41+'Свод '!FU41+'Свод '!FW41+'Свод '!FY41+'Свод '!GA41+'Свод '!GC41+'Свод '!GE41+'Свод '!GG41+'Свод '!GI41+'Свод '!HG41+'Свод '!HI41+'Свод '!HK41+'Свод '!HM41+'Свод '!HO41+'Свод '!HS41+Лист1!C41+Лист1!E41+Лист1!G41+Лист1!I41+Лист1!K41+Лист1!M41+Лист1!O41+Лист1!Q41+'Свод '!DM41</f>
        <v>16460.01257</v>
      </c>
      <c r="AL41" s="144">
        <f>'Свод '!AF41+'Свод '!AJ41+'Свод '!BB41+'Свод '!CB41+'Свод '!CD41+'Свод '!EN41+'Свод '!FD41+'Свод '!FF41+'Свод '!GJ41+'Свод '!GL41+'Свод '!GN41+'Свод '!GP41+'Свод '!GR41+'Свод '!GT41+'Свод '!GV41+'Свод '!GX41+'Свод '!HT41+'Свод '!HV41</f>
        <v>147</v>
      </c>
      <c r="AM41" s="42">
        <f>'Свод '!AG41+'Свод '!AK41+'Свод '!BC41+'Свод '!CC41+'Свод '!CE41+'Свод '!EO41+'Свод '!FE41+'Свод '!FG41+'Свод '!GK41+'Свод '!GM41+'Свод '!GO41+'Свод '!GQ41+'Свод '!GS41+'Свод '!GU41+'Свод '!GW41+'Свод '!GY41+'Свод '!HU41+'Свод '!HW41</f>
        <v>147</v>
      </c>
      <c r="AN41" s="42">
        <f>'Свод '!J41+'Свод '!L41+'Свод '!N41+'Свод '!P41+'Свод '!R41+'Свод '!T41+'Свод '!V41+'Свод '!X41+'Свод '!Z41+'Свод '!AR41+'Свод '!AT41+'Свод '!AV41+'Свод '!AX41+'Свод '!DD41+'Свод '!EP41+'Свод '!ER41+'Свод '!ET41+'Свод '!EV41+'Свод '!EX41+'Свод '!EZ41+'Свод '!GZ41+'Свод '!HB41+T41+V41+Z41+AB41</f>
        <v>150</v>
      </c>
      <c r="AO41" s="42">
        <f>'Свод '!K41+'Свод '!M41+'Свод '!O41+'Свод '!Q41+'Свод '!S41+'Свод '!U41+'Свод '!W41+'Свод '!Y41+'Свод '!AA41+'Свод '!AS41+'Свод '!AU41+'Свод '!AW41+'Свод '!AY41+'Свод '!DE41+'Свод '!EQ41+'Свод '!ES41+'Свод '!EU41+'Свод '!EW41+'Свод '!EY41+'Свод '!FA41+'Свод '!HA41+'Свод '!HC41+U41+W41+AA41+AC41</f>
        <v>150</v>
      </c>
    </row>
    <row r="42" spans="1:41" ht="12.75" customHeight="1">
      <c r="A42" s="109" t="s">
        <v>232</v>
      </c>
      <c r="B42" s="104"/>
      <c r="C42" s="42"/>
      <c r="D42" s="40"/>
      <c r="E42" s="40"/>
      <c r="F42" s="43"/>
      <c r="G42" s="46"/>
      <c r="H42" s="40"/>
      <c r="I42" s="40"/>
      <c r="J42" s="110"/>
      <c r="K42" s="42"/>
      <c r="L42" s="40"/>
      <c r="M42" s="40"/>
      <c r="N42" s="40"/>
      <c r="O42" s="40"/>
      <c r="P42" s="40"/>
      <c r="Q42" s="40"/>
      <c r="R42" s="42">
        <f t="shared" si="1"/>
        <v>0</v>
      </c>
      <c r="S42" s="42">
        <f t="shared" si="2"/>
        <v>0</v>
      </c>
      <c r="T42" s="42"/>
      <c r="U42" s="42"/>
      <c r="V42" s="40"/>
      <c r="W42" s="40"/>
      <c r="X42" s="42">
        <f t="shared" si="3"/>
        <v>0</v>
      </c>
      <c r="Y42" s="42">
        <f t="shared" si="4"/>
        <v>0</v>
      </c>
      <c r="Z42" s="42"/>
      <c r="AA42" s="42"/>
      <c r="AB42" s="40"/>
      <c r="AC42" s="40"/>
      <c r="AD42" s="42">
        <f t="shared" si="5"/>
        <v>0</v>
      </c>
      <c r="AE42" s="42">
        <f t="shared" si="6"/>
        <v>0</v>
      </c>
      <c r="AF42" s="42">
        <f>'Свод '!AH42+'Свод '!AZ42+'Свод '!BB42+'Свод '!CF42+'Свод '!DF42+'Свод '!DJ42+'Свод '!DP42+'Свод '!FB42+'Свод '!FH42+'Свод '!HD42+'Свод '!HP42+'Свод '!HX42+Лист1!R42+Лист1!AD42+X42</f>
        <v>7190.52806</v>
      </c>
      <c r="AG42" s="42">
        <f>'Свод '!AI42+'Свод '!BA42+'Свод '!BC42+'Свод '!CG42+'Свод '!DG42+'Свод '!DK42+'Свод '!DQ42+'Свод '!FC42+'Свод '!FI42+'Свод '!HE42+'Свод '!HQ42+'Свод '!HY42+Лист1!S42+Лист1!AE42+Y42</f>
        <v>7190.48661</v>
      </c>
      <c r="AH42" s="42">
        <f>'Свод '!B42+'Свод '!D42+'Свод '!F42+'Свод '!H42</f>
        <v>4995</v>
      </c>
      <c r="AI42" s="42">
        <f>'Свод '!C42+'Свод '!E42+'Свод '!G42+'Свод '!I42</f>
        <v>4995</v>
      </c>
      <c r="AJ42" s="39">
        <f>'Свод '!AB42+'Свод '!AD42+'Свод '!AL42+'Свод '!AN42+'Свод '!AP42+'Свод '!BD42+'Свод '!BF42+'Свод '!BH42+'Свод '!BJ42+'Свод '!BL42+'Свод '!BN42+'Свод '!BP42+'Свод '!BR42+'Свод '!BT42+'Свод '!BV42+'Свод '!BX42+'Свод '!BZ42+'Свод '!CH42+'Свод '!CJ42+'Свод '!CL42+'Свод '!CN42+'Свод '!CP42+'Свод '!CR42+'Свод '!CT42+'Свод '!CV42+'Свод '!CX42+'Свод '!CZ42+'Свод '!DB42+'Свод '!DH42+'Свод '!DN42+'Свод '!DR42+'Свод '!DT42+'Свод '!DV42+'Свод '!DX42+'Свод '!DZ42+'Свод '!EB42+'Свод '!ED42+'Свод '!EF42+'Свод '!EH42+'Свод '!EJ42+'Свод '!EL42+'Свод '!FJ42+'Свод '!FL42+'Свод '!FN42+'Свод '!FP42+'Свод '!FR42+'Свод '!FT42+'Свод '!FV42+'Свод '!FX42+'Свод '!FZ42+'Свод '!GB42+'Свод '!GD42+'Свод '!GF42+'Свод '!GH42+'Свод '!HF42+'Свод '!HH42+'Свод '!HJ42+'Свод '!HL42+'Свод '!HN42+'Свод '!HR42+Лист1!B42+Лист1!D42+Лист1!F42+Лист1!H42+Лист1!J42+Лист1!L42+Лист1!N42+Лист1!P42+'Свод '!DL42</f>
        <v>0</v>
      </c>
      <c r="AK42" s="39">
        <f>'Свод '!AC42+'Свод '!AE42+'Свод '!AM42+'Свод '!AO42+'Свод '!AQ42+'Свод '!BE42+'Свод '!BG42+'Свод '!BI42+'Свод '!BK42+'Свод '!BM42+'Свод '!BO42+'Свод '!BQ42+'Свод '!BS42+'Свод '!BU42+'Свод '!BW42+'Свод '!BY42+'Свод '!CA42+'Свод '!CI42+'Свод '!CK42+'Свод '!CM42+'Свод '!CO42+'Свод '!CQ42+'Свод '!CS42+'Свод '!CU42+'Свод '!CW42+'Свод '!CY42+'Свод '!DA42+'Свод '!DC42+'Свод '!DI42+'Свод '!DO42+'Свод '!DS42+'Свод '!DU42+'Свод '!DW42+'Свод '!DY42+'Свод '!EA42+'Свод '!EC42+'Свод '!EE42+'Свод '!EG42+'Свод '!EI42+'Свод '!EK42+'Свод '!EM42+'Свод '!FK42+'Свод '!FM42+'Свод '!FO42+'Свод '!FQ42+'Свод '!FS42+'Свод '!FU42+'Свод '!FW42+'Свод '!FY42+'Свод '!GA42+'Свод '!GC42+'Свод '!GE42+'Свод '!GG42+'Свод '!GI42+'Свод '!HG42+'Свод '!HI42+'Свод '!HK42+'Свод '!HM42+'Свод '!HO42+'Свод '!HS42+Лист1!C42+Лист1!E42+Лист1!G42+Лист1!I42+Лист1!K42+Лист1!M42+Лист1!O42+Лист1!Q42+'Свод '!DM42</f>
        <v>0</v>
      </c>
      <c r="AL42" s="144">
        <f>'Свод '!AF42+'Свод '!AJ42+'Свод '!BB42+'Свод '!CB42+'Свод '!CD42+'Свод '!EN42+'Свод '!FD42+'Свод '!FF42+'Свод '!GJ42+'Свод '!GL42+'Свод '!GN42+'Свод '!GP42+'Свод '!GR42+'Свод '!GT42+'Свод '!GV42+'Свод '!GX42+'Свод '!HT42+'Свод '!HV42</f>
        <v>147</v>
      </c>
      <c r="AM42" s="42">
        <f>'Свод '!AG42+'Свод '!AK42+'Свод '!BC42+'Свод '!CC42+'Свод '!CE42+'Свод '!EO42+'Свод '!FE42+'Свод '!FG42+'Свод '!GK42+'Свод '!GM42+'Свод '!GO42+'Свод '!GQ42+'Свод '!GS42+'Свод '!GU42+'Свод '!GW42+'Свод '!GY42+'Свод '!HU42+'Свод '!HW42</f>
        <v>147</v>
      </c>
      <c r="AN42" s="42">
        <f>'Свод '!J42+'Свод '!L42+'Свод '!N42+'Свод '!P42+'Свод '!R42+'Свод '!T42+'Свод '!V42+'Свод '!X42+'Свод '!Z42+'Свод '!AR42+'Свод '!AT42+'Свод '!AV42+'Свод '!AX42+'Свод '!DD42+'Свод '!EP42+'Свод '!ER42+'Свод '!ET42+'Свод '!EV42+'Свод '!EX42+'Свод '!EZ42+'Свод '!GZ42+'Свод '!HB42+T42+V42+Z42+AB42</f>
        <v>2048.52806</v>
      </c>
      <c r="AO42" s="42">
        <f>'Свод '!K42+'Свод '!M42+'Свод '!O42+'Свод '!Q42+'Свод '!S42+'Свод '!U42+'Свод '!W42+'Свод '!Y42+'Свод '!AA42+'Свод '!AS42+'Свод '!AU42+'Свод '!AW42+'Свод '!AY42+'Свод '!DE42+'Свод '!EQ42+'Свод '!ES42+'Свод '!EU42+'Свод '!EW42+'Свод '!EY42+'Свод '!FA42+'Свод '!HA42+'Свод '!HC42+U42+W42+AA42+AC42</f>
        <v>2048.48661</v>
      </c>
    </row>
    <row r="43" spans="1:41" ht="12.75">
      <c r="A43" s="109" t="s">
        <v>233</v>
      </c>
      <c r="B43" s="104"/>
      <c r="C43" s="42"/>
      <c r="D43" s="40"/>
      <c r="E43" s="40"/>
      <c r="F43" s="43"/>
      <c r="G43" s="46"/>
      <c r="H43" s="40"/>
      <c r="I43" s="40"/>
      <c r="J43" s="110"/>
      <c r="K43" s="42"/>
      <c r="L43" s="40"/>
      <c r="M43" s="40"/>
      <c r="N43" s="40"/>
      <c r="O43" s="40"/>
      <c r="P43" s="40"/>
      <c r="Q43" s="40"/>
      <c r="R43" s="42">
        <f t="shared" si="1"/>
        <v>0</v>
      </c>
      <c r="S43" s="42">
        <f t="shared" si="2"/>
        <v>0</v>
      </c>
      <c r="T43" s="42"/>
      <c r="U43" s="42"/>
      <c r="V43" s="40"/>
      <c r="W43" s="40"/>
      <c r="X43" s="42">
        <f t="shared" si="3"/>
        <v>0</v>
      </c>
      <c r="Y43" s="42">
        <f t="shared" si="4"/>
        <v>0</v>
      </c>
      <c r="Z43" s="42"/>
      <c r="AA43" s="42"/>
      <c r="AB43" s="40"/>
      <c r="AC43" s="40"/>
      <c r="AD43" s="42">
        <f t="shared" si="5"/>
        <v>0</v>
      </c>
      <c r="AE43" s="42">
        <f t="shared" si="6"/>
        <v>0</v>
      </c>
      <c r="AF43" s="42">
        <f>'Свод '!AH43+'Свод '!AZ43+'Свод '!BB43+'Свод '!CF43+'Свод '!DF43+'Свод '!DJ43+'Свод '!DP43+'Свод '!FB43+'Свод '!FH43+'Свод '!HD43+'Свод '!HP43+'Свод '!HX43+Лист1!R43+Лист1!AD43+X43</f>
        <v>5713.99475</v>
      </c>
      <c r="AG43" s="42">
        <f>'Свод '!AI43+'Свод '!BA43+'Свод '!BC43+'Свод '!CG43+'Свод '!DG43+'Свод '!DK43+'Свод '!DQ43+'Свод '!FC43+'Свод '!FI43+'Свод '!HE43+'Свод '!HQ43+'Свод '!HY43+Лист1!S43+Лист1!AE43+Y43</f>
        <v>5713.99475</v>
      </c>
      <c r="AH43" s="42">
        <f>'Свод '!B43+'Свод '!D43+'Свод '!F43+'Свод '!H43</f>
        <v>5228</v>
      </c>
      <c r="AI43" s="42">
        <f>'Свод '!C43+'Свод '!E43+'Свод '!G43+'Свод '!I43</f>
        <v>5228</v>
      </c>
      <c r="AJ43" s="39">
        <f>'Свод '!AB43+'Свод '!AD43+'Свод '!AL43+'Свод '!AN43+'Свод '!AP43+'Свод '!BD43+'Свод '!BF43+'Свод '!BH43+'Свод '!BJ43+'Свод '!BL43+'Свод '!BN43+'Свод '!BP43+'Свод '!BR43+'Свод '!BT43+'Свод '!BV43+'Свод '!BX43+'Свод '!BZ43+'Свод '!CH43+'Свод '!CJ43+'Свод '!CL43+'Свод '!CN43+'Свод '!CP43+'Свод '!CR43+'Свод '!CT43+'Свод '!CV43+'Свод '!CX43+'Свод '!CZ43+'Свод '!DB43+'Свод '!DH43+'Свод '!DN43+'Свод '!DR43+'Свод '!DT43+'Свод '!DV43+'Свод '!DX43+'Свод '!DZ43+'Свод '!EB43+'Свод '!ED43+'Свод '!EF43+'Свод '!EH43+'Свод '!EJ43+'Свод '!EL43+'Свод '!FJ43+'Свод '!FL43+'Свод '!FN43+'Свод '!FP43+'Свод '!FR43+'Свод '!FT43+'Свод '!FV43+'Свод '!FX43+'Свод '!FZ43+'Свод '!GB43+'Свод '!GD43+'Свод '!GF43+'Свод '!GH43+'Свод '!HF43+'Свод '!HH43+'Свод '!HJ43+'Свод '!HL43+'Свод '!HN43+'Свод '!HR43+Лист1!B43+Лист1!D43+Лист1!F43+Лист1!H43+Лист1!J43+Лист1!L43+Лист1!N43+Лист1!P43+'Свод '!DL43</f>
        <v>0</v>
      </c>
      <c r="AK43" s="39">
        <f>'Свод '!AC43+'Свод '!AE43+'Свод '!AM43+'Свод '!AO43+'Свод '!AQ43+'Свод '!BE43+'Свод '!BG43+'Свод '!BI43+'Свод '!BK43+'Свод '!BM43+'Свод '!BO43+'Свод '!BQ43+'Свод '!BS43+'Свод '!BU43+'Свод '!BW43+'Свод '!BY43+'Свод '!CA43+'Свод '!CI43+'Свод '!CK43+'Свод '!CM43+'Свод '!CO43+'Свод '!CQ43+'Свод '!CS43+'Свод '!CU43+'Свод '!CW43+'Свод '!CY43+'Свод '!DA43+'Свод '!DC43+'Свод '!DI43+'Свод '!DO43+'Свод '!DS43+'Свод '!DU43+'Свод '!DW43+'Свод '!DY43+'Свод '!EA43+'Свод '!EC43+'Свод '!EE43+'Свод '!EG43+'Свод '!EI43+'Свод '!EK43+'Свод '!EM43+'Свод '!FK43+'Свод '!FM43+'Свод '!FO43+'Свод '!FQ43+'Свод '!FS43+'Свод '!FU43+'Свод '!FW43+'Свод '!FY43+'Свод '!GA43+'Свод '!GC43+'Свод '!GE43+'Свод '!GG43+'Свод '!GI43+'Свод '!HG43+'Свод '!HI43+'Свод '!HK43+'Свод '!HM43+'Свод '!HO43+'Свод '!HS43+Лист1!C43+Лист1!E43+Лист1!G43+Лист1!I43+Лист1!K43+Лист1!M43+Лист1!O43+Лист1!Q43+'Свод '!DM43</f>
        <v>0</v>
      </c>
      <c r="AL43" s="144">
        <f>'Свод '!AF43+'Свод '!AJ43+'Свод '!BB43+'Свод '!CB43+'Свод '!CD43+'Свод '!EN43+'Свод '!FD43+'Свод '!FF43+'Свод '!GJ43+'Свод '!GL43+'Свод '!GN43+'Свод '!GP43+'Свод '!GR43+'Свод '!GT43+'Свод '!GV43+'Свод '!GX43+'Свод '!HT43+'Свод '!HV43</f>
        <v>147</v>
      </c>
      <c r="AM43" s="42">
        <f>'Свод '!AG43+'Свод '!AK43+'Свод '!BC43+'Свод '!CC43+'Свод '!CE43+'Свод '!EO43+'Свод '!FE43+'Свод '!FG43+'Свод '!GK43+'Свод '!GM43+'Свод '!GO43+'Свод '!GQ43+'Свод '!GS43+'Свод '!GU43+'Свод '!GW43+'Свод '!GY43+'Свод '!HU43+'Свод '!HW43</f>
        <v>147</v>
      </c>
      <c r="AN43" s="42">
        <f>'Свод '!J43+'Свод '!L43+'Свод '!N43+'Свод '!P43+'Свод '!R43+'Свод '!T43+'Свод '!V43+'Свод '!X43+'Свод '!Z43+'Свод '!AR43+'Свод '!AT43+'Свод '!AV43+'Свод '!AX43+'Свод '!DD43+'Свод '!EP43+'Свод '!ER43+'Свод '!ET43+'Свод '!EV43+'Свод '!EX43+'Свод '!EZ43+'Свод '!GZ43+'Свод '!HB43+T43+V43+Z43+AB43</f>
        <v>338.99475</v>
      </c>
      <c r="AO43" s="42">
        <f>'Свод '!K43+'Свод '!M43+'Свод '!O43+'Свод '!Q43+'Свод '!S43+'Свод '!U43+'Свод '!W43+'Свод '!Y43+'Свод '!AA43+'Свод '!AS43+'Свод '!AU43+'Свод '!AW43+'Свод '!AY43+'Свод '!DE43+'Свод '!EQ43+'Свод '!ES43+'Свод '!EU43+'Свод '!EW43+'Свод '!EY43+'Свод '!FA43+'Свод '!HA43+'Свод '!HC43+U43+W43+AA43+AC43</f>
        <v>338.99475</v>
      </c>
    </row>
    <row r="44" spans="1:41" ht="12.75" customHeight="1">
      <c r="A44" s="108" t="s">
        <v>145</v>
      </c>
      <c r="B44" s="104">
        <v>12849</v>
      </c>
      <c r="C44" s="42">
        <v>12849</v>
      </c>
      <c r="D44" s="40">
        <f>SUM(D45:D59)</f>
        <v>13880</v>
      </c>
      <c r="E44" s="40">
        <f>SUM(E45:E59)</f>
        <v>13862.614</v>
      </c>
      <c r="F44" s="43">
        <v>535</v>
      </c>
      <c r="G44" s="46">
        <v>532.99129</v>
      </c>
      <c r="H44" s="40">
        <f>SUM(H45:H59)</f>
        <v>0</v>
      </c>
      <c r="I44" s="40">
        <f>SUM(I45:I59)</f>
        <v>0</v>
      </c>
      <c r="J44" s="104">
        <v>0</v>
      </c>
      <c r="K44" s="42">
        <v>0</v>
      </c>
      <c r="L44" s="47">
        <v>0</v>
      </c>
      <c r="M44" s="47">
        <v>0</v>
      </c>
      <c r="N44" s="47">
        <f>SUM(N45:N59)</f>
        <v>0</v>
      </c>
      <c r="O44" s="47">
        <f>SUM(O45:O59)</f>
        <v>0</v>
      </c>
      <c r="P44" s="47">
        <f>SUM(P45:P59)</f>
        <v>0</v>
      </c>
      <c r="Q44" s="47">
        <f>SUM(Q45:Q59)</f>
        <v>0</v>
      </c>
      <c r="R44" s="42">
        <f t="shared" si="1"/>
        <v>27264</v>
      </c>
      <c r="S44" s="42">
        <f t="shared" si="2"/>
        <v>27244.605290000003</v>
      </c>
      <c r="T44" s="42">
        <v>0</v>
      </c>
      <c r="U44" s="42">
        <v>0</v>
      </c>
      <c r="V44" s="40">
        <v>0</v>
      </c>
      <c r="W44" s="40">
        <v>0</v>
      </c>
      <c r="X44" s="42">
        <f t="shared" si="3"/>
        <v>0</v>
      </c>
      <c r="Y44" s="42">
        <f t="shared" si="4"/>
        <v>0</v>
      </c>
      <c r="Z44" s="42">
        <v>0</v>
      </c>
      <c r="AA44" s="42">
        <v>0</v>
      </c>
      <c r="AB44" s="40">
        <v>0</v>
      </c>
      <c r="AC44" s="40">
        <v>0</v>
      </c>
      <c r="AD44" s="42">
        <f t="shared" si="5"/>
        <v>0</v>
      </c>
      <c r="AE44" s="42">
        <f t="shared" si="6"/>
        <v>0</v>
      </c>
      <c r="AF44" s="42">
        <f>'Свод '!AH44+'Свод '!AZ44+'Свод '!BB44+'Свод '!CF44+'Свод '!DF44+'Свод '!DJ44+'Свод '!DP44+'Свод '!FB44+'Свод '!FH44+'Свод '!HD44+'Свод '!HP44+'Свод '!HX44+Лист1!R44+Лист1!AD44+X44</f>
        <v>752897.2909700001</v>
      </c>
      <c r="AG44" s="42">
        <f>'Свод '!AI44+'Свод '!BA44+'Свод '!BC44+'Свод '!CG44+'Свод '!DG44+'Свод '!DK44+'Свод '!DQ44+'Свод '!FC44+'Свод '!FI44+'Свод '!HE44+'Свод '!HQ44+'Свод '!HY44+Лист1!S44+Лист1!AE44+Y44</f>
        <v>741309.3616200001</v>
      </c>
      <c r="AH44" s="42">
        <f>'Свод '!B44+'Свод '!D44+'Свод '!F44+'Свод '!H44</f>
        <v>263050</v>
      </c>
      <c r="AI44" s="42">
        <f>'Свод '!C44+'Свод '!E44+'Свод '!G44+'Свод '!I44</f>
        <v>263050</v>
      </c>
      <c r="AJ44" s="39">
        <f>'Свод '!AB44+'Свод '!AD44+'Свод '!AL44+'Свод '!AN44+'Свод '!AP44+'Свод '!BD44+'Свод '!BF44+'Свод '!BH44+'Свод '!BJ44+'Свод '!BL44+'Свод '!BN44+'Свод '!BP44+'Свод '!BR44+'Свод '!BT44+'Свод '!BV44+'Свод '!BX44+'Свод '!BZ44+'Свод '!CH44+'Свод '!CJ44+'Свод '!CL44+'Свод '!CN44+'Свод '!CP44+'Свод '!CR44+'Свод '!CT44+'Свод '!CV44+'Свод '!CX44+'Свод '!CZ44+'Свод '!DB44+'Свод '!DH44+'Свод '!DN44+'Свод '!DR44+'Свод '!DT44+'Свод '!DV44+'Свод '!DX44+'Свод '!DZ44+'Свод '!EB44+'Свод '!ED44+'Свод '!EF44+'Свод '!EH44+'Свод '!EJ44+'Свод '!EL44+'Свод '!FJ44+'Свод '!FL44+'Свод '!FN44+'Свод '!FP44+'Свод '!FR44+'Свод '!FT44+'Свод '!FV44+'Свод '!FX44+'Свод '!FZ44+'Свод '!GB44+'Свод '!GD44+'Свод '!GF44+'Свод '!GH44+'Свод '!HF44+'Свод '!HH44+'Свод '!HJ44+'Свод '!HL44+'Свод '!HN44+'Свод '!HR44+Лист1!B44+Лист1!D44+Лист1!F44+Лист1!H44+Лист1!J44+Лист1!L44+Лист1!N44+Лист1!P44+'Свод '!DL44</f>
        <v>141418.94202999998</v>
      </c>
      <c r="AK44" s="39">
        <f>'Свод '!AC44+'Свод '!AE44+'Свод '!AM44+'Свод '!AO44+'Свод '!AQ44+'Свод '!BE44+'Свод '!BG44+'Свод '!BI44+'Свод '!BK44+'Свод '!BM44+'Свод '!BO44+'Свод '!BQ44+'Свод '!BS44+'Свод '!BU44+'Свод '!BW44+'Свод '!BY44+'Свод '!CA44+'Свод '!CI44+'Свод '!CK44+'Свод '!CM44+'Свод '!CO44+'Свод '!CQ44+'Свод '!CS44+'Свод '!CU44+'Свод '!CW44+'Свод '!CY44+'Свод '!DA44+'Свод '!DC44+'Свод '!DI44+'Свод '!DO44+'Свод '!DS44+'Свод '!DU44+'Свод '!DW44+'Свод '!DY44+'Свод '!EA44+'Свод '!EC44+'Свод '!EE44+'Свод '!EG44+'Свод '!EI44+'Свод '!EK44+'Свод '!EM44+'Свод '!FK44+'Свод '!FM44+'Свод '!FO44+'Свод '!FQ44+'Свод '!FS44+'Свод '!FU44+'Свод '!FW44+'Свод '!FY44+'Свод '!GA44+'Свод '!GC44+'Свод '!GE44+'Свод '!GG44+'Свод '!GI44+'Свод '!HG44+'Свод '!HI44+'Свод '!HK44+'Свод '!HM44+'Свод '!HO44+'Свод '!HS44+Лист1!C44+Лист1!E44+Лист1!G44+Лист1!I44+Лист1!K44+Лист1!M44+Лист1!O44+Лист1!Q44+'Свод '!DM44</f>
        <v>129864.33505999998</v>
      </c>
      <c r="AL44" s="144">
        <f>'Свод '!AF44+'Свод '!AJ44+'Свод '!BB44+'Свод '!CB44+'Свод '!CD44+'Свод '!EN44+'Свод '!FD44+'Свод '!FF44+'Свод '!GJ44+'Свод '!GL44+'Свод '!GN44+'Свод '!GP44+'Свод '!GR44+'Свод '!GT44+'Свод '!GV44+'Свод '!GX44+'Свод '!HT44+'Свод '!HV44</f>
        <v>320708.857</v>
      </c>
      <c r="AM44" s="42">
        <f>'Свод '!AG44+'Свод '!AK44+'Свод '!BC44+'Свод '!CC44+'Свод '!CE44+'Свод '!EO44+'Свод '!FE44+'Свод '!FG44+'Свод '!GK44+'Свод '!GM44+'Свод '!GO44+'Свод '!GQ44+'Свод '!GS44+'Свод '!GU44+'Свод '!GW44+'Свод '!GY44+'Свод '!HU44+'Свод '!HW44</f>
        <v>320693.857</v>
      </c>
      <c r="AN44" s="42">
        <f>'Свод '!J44+'Свод '!L44+'Свод '!N44+'Свод '!P44+'Свод '!R44+'Свод '!T44+'Свод '!V44+'Свод '!X44+'Свод '!Z44+'Свод '!AR44+'Свод '!AT44+'Свод '!AV44+'Свод '!AX44+'Свод '!DD44+'Свод '!EP44+'Свод '!ER44+'Свод '!ET44+'Свод '!EV44+'Свод '!EX44+'Свод '!EZ44+'Свод '!GZ44+'Свод '!HB44+T44+V44+Z44+AB44</f>
        <v>27719.491939999996</v>
      </c>
      <c r="AO44" s="42">
        <f>'Свод '!K44+'Свод '!M44+'Свод '!O44+'Свод '!Q44+'Свод '!S44+'Свод '!U44+'Свод '!W44+'Свод '!Y44+'Свод '!AA44+'Свод '!AS44+'Свод '!AU44+'Свод '!AW44+'Свод '!AY44+'Свод '!DE44+'Свод '!EQ44+'Свод '!ES44+'Свод '!EU44+'Свод '!EW44+'Свод '!EY44+'Свод '!FA44+'Свод '!HA44+'Свод '!HC44+U44+W44+AA44+AC44</f>
        <v>27701.169559999995</v>
      </c>
    </row>
    <row r="45" spans="1:41" ht="12.75">
      <c r="A45" s="103" t="s">
        <v>156</v>
      </c>
      <c r="B45" s="104">
        <v>12849</v>
      </c>
      <c r="C45" s="42">
        <v>12849</v>
      </c>
      <c r="D45" s="47">
        <v>13880</v>
      </c>
      <c r="E45" s="47">
        <f>13862.614</f>
        <v>13862.614</v>
      </c>
      <c r="F45" s="43">
        <v>535</v>
      </c>
      <c r="G45" s="42">
        <v>532.99129</v>
      </c>
      <c r="H45" s="47"/>
      <c r="I45" s="47"/>
      <c r="J45" s="105"/>
      <c r="K45" s="42"/>
      <c r="L45" s="40"/>
      <c r="M45" s="40"/>
      <c r="N45" s="40"/>
      <c r="O45" s="40"/>
      <c r="P45" s="40"/>
      <c r="Q45" s="40"/>
      <c r="R45" s="42">
        <f t="shared" si="1"/>
        <v>27264</v>
      </c>
      <c r="S45" s="42">
        <f t="shared" si="2"/>
        <v>27244.605290000003</v>
      </c>
      <c r="T45" s="42"/>
      <c r="U45" s="42"/>
      <c r="V45" s="40"/>
      <c r="W45" s="40"/>
      <c r="X45" s="42">
        <f t="shared" si="3"/>
        <v>0</v>
      </c>
      <c r="Y45" s="42">
        <f t="shared" si="4"/>
        <v>0</v>
      </c>
      <c r="Z45" s="42"/>
      <c r="AA45" s="42"/>
      <c r="AB45" s="40"/>
      <c r="AC45" s="40"/>
      <c r="AD45" s="42">
        <f t="shared" si="5"/>
        <v>0</v>
      </c>
      <c r="AE45" s="42">
        <f t="shared" si="6"/>
        <v>0</v>
      </c>
      <c r="AF45" s="42">
        <f>'Свод '!AH45+'Свод '!AZ45+'Свод '!BB45+'Свод '!CF45+'Свод '!DF45+'Свод '!DJ45+'Свод '!DP45+'Свод '!FB45+'Свод '!FH45+'Свод '!HD45+'Свод '!HP45+'Свод '!HX45+Лист1!R45+Лист1!AD45+X45</f>
        <v>666332.7030000001</v>
      </c>
      <c r="AG45" s="42">
        <f>'Свод '!AI45+'Свод '!BA45+'Свод '!BC45+'Свод '!CG45+'Свод '!DG45+'Свод '!DK45+'Свод '!DQ45+'Свод '!FC45+'Свод '!FI45+'Свод '!HE45+'Свод '!HQ45+'Свод '!HY45+Лист1!S45+Лист1!AE45+Y45</f>
        <v>655007.89009</v>
      </c>
      <c r="AH45" s="42">
        <f>'Свод '!B45+'Свод '!D45+'Свод '!F45+'Свод '!H45</f>
        <v>222942</v>
      </c>
      <c r="AI45" s="42">
        <f>'Свод '!C45+'Свод '!E45+'Свод '!G45+'Свод '!I45</f>
        <v>222942</v>
      </c>
      <c r="AJ45" s="39">
        <f>'Свод '!AB45+'Свод '!AD45+'Свод '!AL45+'Свод '!AN45+'Свод '!AP45+'Свод '!BD45+'Свод '!BF45+'Свод '!BH45+'Свод '!BJ45+'Свод '!BL45+'Свод '!BN45+'Свод '!BP45+'Свод '!BR45+'Свод '!BT45+'Свод '!BV45+'Свод '!BX45+'Свод '!BZ45+'Свод '!CH45+'Свод '!CJ45+'Свод '!CL45+'Свод '!CN45+'Свод '!CP45+'Свод '!CR45+'Свод '!CT45+'Свод '!CV45+'Свод '!CX45+'Свод '!CZ45+'Свод '!DB45+'Свод '!DH45+'Свод '!DN45+'Свод '!DR45+'Свод '!DT45+'Свод '!DV45+'Свод '!DX45+'Свод '!DZ45+'Свод '!EB45+'Свод '!ED45+'Свод '!EF45+'Свод '!EH45+'Свод '!EJ45+'Свод '!EL45+'Свод '!FJ45+'Свод '!FL45+'Свод '!FN45+'Свод '!FP45+'Свод '!FR45+'Свод '!FT45+'Свод '!FV45+'Свод '!FX45+'Свод '!FZ45+'Свод '!GB45+'Свод '!GD45+'Свод '!GF45+'Свод '!GH45+'Свод '!HF45+'Свод '!HH45+'Свод '!HJ45+'Свод '!HL45+'Свод '!HN45+'Свод '!HR45+Лист1!B45+Лист1!D45+Лист1!F45+Лист1!H45+Лист1!J45+Лист1!L45+Лист1!N45+Лист1!P45+'Свод '!DL45</f>
        <v>108528.74599999998</v>
      </c>
      <c r="AK45" s="39">
        <f>'Свод '!AC45+'Свод '!AE45+'Свод '!AM45+'Свод '!AO45+'Свод '!AQ45+'Свод '!BE45+'Свод '!BG45+'Свод '!BI45+'Свод '!BK45+'Свод '!BM45+'Свод '!BO45+'Свод '!BQ45+'Свод '!BS45+'Свод '!BU45+'Свод '!BW45+'Свод '!BY45+'Свод '!CA45+'Свод '!CI45+'Свод '!CK45+'Свод '!CM45+'Свод '!CO45+'Свод '!CQ45+'Свод '!CS45+'Свод '!CU45+'Свод '!CW45+'Свод '!CY45+'Свод '!DA45+'Свод '!DC45+'Свод '!DI45+'Свод '!DO45+'Свод '!DS45+'Свод '!DU45+'Свод '!DW45+'Свод '!DY45+'Свод '!EA45+'Свод '!EC45+'Свод '!EE45+'Свод '!EG45+'Свод '!EI45+'Свод '!EK45+'Свод '!EM45+'Свод '!FK45+'Свод '!FM45+'Свод '!FO45+'Свод '!FQ45+'Свод '!FS45+'Свод '!FU45+'Свод '!FW45+'Свод '!FY45+'Свод '!GA45+'Свод '!GC45+'Свод '!GE45+'Свод '!GG45+'Свод '!GI45+'Свод '!HG45+'Свод '!HI45+'Свод '!HK45+'Свод '!HM45+'Свод '!HO45+'Свод '!HS45+Лист1!C45+Лист1!E45+Лист1!G45+Лист1!I45+Лист1!K45+Лист1!M45+Лист1!O45+Лист1!Q45+'Свод '!DM45</f>
        <v>97218.93309</v>
      </c>
      <c r="AL45" s="144">
        <f>'Свод '!AF45+'Свод '!AJ45+'Свод '!BB45+'Свод '!CB45+'Свод '!CD45+'Свод '!EN45+'Свод '!FD45+'Свод '!FF45+'Свод '!GJ45+'Свод '!GL45+'Свод '!GN45+'Свод '!GP45+'Свод '!GR45+'Свод '!GT45+'Свод '!GV45+'Свод '!GX45+'Свод '!HT45+'Свод '!HV45</f>
        <v>318872.857</v>
      </c>
      <c r="AM45" s="42">
        <f>'Свод '!AG45+'Свод '!AK45+'Свод '!BC45+'Свод '!CC45+'Свод '!CE45+'Свод '!EO45+'Свод '!FE45+'Свод '!FG45+'Свод '!GK45+'Свод '!GM45+'Свод '!GO45+'Свод '!GQ45+'Свод '!GS45+'Свод '!GU45+'Свод '!GW45+'Свод '!GY45+'Свод '!HU45+'Свод '!HW45</f>
        <v>318857.857</v>
      </c>
      <c r="AN45" s="42">
        <f>'Свод '!J45+'Свод '!L45+'Свод '!N45+'Свод '!P45+'Свод '!R45+'Свод '!T45+'Свод '!V45+'Свод '!X45+'Свод '!Z45+'Свод '!AR45+'Свод '!AT45+'Свод '!AV45+'Свод '!AX45+'Свод '!DD45+'Свод '!EP45+'Свод '!ER45+'Свод '!ET45+'Свод '!EV45+'Свод '!EX45+'Свод '!EZ45+'Свод '!GZ45+'Свод '!HB45+T45+V45+Z45+AB45</f>
        <v>15989.1</v>
      </c>
      <c r="AO45" s="42">
        <f>'Свод '!K45+'Свод '!M45+'Свод '!O45+'Свод '!Q45+'Свод '!S45+'Свод '!U45+'Свод '!W45+'Свод '!Y45+'Свод '!AA45+'Свод '!AS45+'Свод '!AU45+'Свод '!AW45+'Свод '!AY45+'Свод '!DE45+'Свод '!EQ45+'Свод '!ES45+'Свод '!EU45+'Свод '!EW45+'Свод '!EY45+'Свод '!FA45+'Свод '!HA45+'Свод '!HC45+U45+W45+AA45+AC45</f>
        <v>15989.1</v>
      </c>
    </row>
    <row r="46" spans="1:41" ht="12.75" customHeight="1">
      <c r="A46" s="111" t="s">
        <v>144</v>
      </c>
      <c r="B46" s="104"/>
      <c r="C46" s="42"/>
      <c r="D46" s="40"/>
      <c r="E46" s="40"/>
      <c r="F46" s="43"/>
      <c r="G46" s="46"/>
      <c r="H46" s="40"/>
      <c r="I46" s="40"/>
      <c r="J46" s="112"/>
      <c r="K46" s="42"/>
      <c r="L46" s="40"/>
      <c r="M46" s="40"/>
      <c r="N46" s="40"/>
      <c r="O46" s="40"/>
      <c r="P46" s="40"/>
      <c r="Q46" s="40"/>
      <c r="R46" s="42">
        <f t="shared" si="1"/>
        <v>0</v>
      </c>
      <c r="S46" s="42">
        <f t="shared" si="2"/>
        <v>0</v>
      </c>
      <c r="T46" s="42"/>
      <c r="U46" s="42"/>
      <c r="V46" s="40"/>
      <c r="W46" s="40"/>
      <c r="X46" s="42">
        <f t="shared" si="3"/>
        <v>0</v>
      </c>
      <c r="Y46" s="42">
        <f t="shared" si="4"/>
        <v>0</v>
      </c>
      <c r="Z46" s="42"/>
      <c r="AA46" s="42"/>
      <c r="AB46" s="40"/>
      <c r="AC46" s="40"/>
      <c r="AD46" s="42">
        <f t="shared" si="5"/>
        <v>0</v>
      </c>
      <c r="AE46" s="42">
        <f t="shared" si="6"/>
        <v>0</v>
      </c>
      <c r="AF46" s="42">
        <f>'Свод '!AH46+'Свод '!AZ46+'Свод '!BB46+'Свод '!CF46+'Свод '!DF46+'Свод '!DJ46+'Свод '!DP46+'Свод '!FB46+'Свод '!FH46+'Свод '!HD46+'Свод '!HP46+'Свод '!HX46+Лист1!R46+Лист1!AD46+X46</f>
        <v>6442.3597</v>
      </c>
      <c r="AG46" s="42">
        <f>'Свод '!AI46+'Свод '!BA46+'Свод '!BC46+'Свод '!CG46+'Свод '!DG46+'Свод '!DK46+'Свод '!DQ46+'Свод '!FC46+'Свод '!FI46+'Свод '!HE46+'Свод '!HQ46+'Свод '!HY46+Лист1!S46+Лист1!AE46+Y46</f>
        <v>6442.3597</v>
      </c>
      <c r="AH46" s="42">
        <f>'Свод '!B46+'Свод '!D46+'Свод '!F46+'Свод '!H46</f>
        <v>1096</v>
      </c>
      <c r="AI46" s="42">
        <f>'Свод '!C46+'Свод '!E46+'Свод '!G46+'Свод '!I46</f>
        <v>1096</v>
      </c>
      <c r="AJ46" s="39">
        <f>'Свод '!AB46+'Свод '!AD46+'Свод '!AL46+'Свод '!AN46+'Свод '!AP46+'Свод '!BD46+'Свод '!BF46+'Свод '!BH46+'Свод '!BJ46+'Свод '!BL46+'Свод '!BN46+'Свод '!BP46+'Свод '!BR46+'Свод '!BT46+'Свод '!BV46+'Свод '!BX46+'Свод '!BZ46+'Свод '!CH46+'Свод '!CJ46+'Свод '!CL46+'Свод '!CN46+'Свод '!CP46+'Свод '!CR46+'Свод '!CT46+'Свод '!CV46+'Свод '!CX46+'Свод '!CZ46+'Свод '!DB46+'Свод '!DH46+'Свод '!DN46+'Свод '!DR46+'Свод '!DT46+'Свод '!DV46+'Свод '!DX46+'Свод '!DZ46+'Свод '!EB46+'Свод '!ED46+'Свод '!EF46+'Свод '!EH46+'Свод '!EJ46+'Свод '!EL46+'Свод '!FJ46+'Свод '!FL46+'Свод '!FN46+'Свод '!FP46+'Свод '!FR46+'Свод '!FT46+'Свод '!FV46+'Свод '!FX46+'Свод '!FZ46+'Свод '!GB46+'Свод '!GD46+'Свод '!GF46+'Свод '!GH46+'Свод '!HF46+'Свод '!HH46+'Свод '!HJ46+'Свод '!HL46+'Свод '!HN46+'Свод '!HR46+Лист1!B46+Лист1!D46+Лист1!F46+Лист1!H46+Лист1!J46+Лист1!L46+Лист1!N46+Лист1!P46+'Свод '!DL46</f>
        <v>3983</v>
      </c>
      <c r="AK46" s="39">
        <f>'Свод '!AC46+'Свод '!AE46+'Свод '!AM46+'Свод '!AO46+'Свод '!AQ46+'Свод '!BE46+'Свод '!BG46+'Свод '!BI46+'Свод '!BK46+'Свод '!BM46+'Свод '!BO46+'Свод '!BQ46+'Свод '!BS46+'Свод '!BU46+'Свод '!BW46+'Свод '!BY46+'Свод '!CA46+'Свод '!CI46+'Свод '!CK46+'Свод '!CM46+'Свод '!CO46+'Свод '!CQ46+'Свод '!CS46+'Свод '!CU46+'Свод '!CW46+'Свод '!CY46+'Свод '!DA46+'Свод '!DC46+'Свод '!DI46+'Свод '!DO46+'Свод '!DS46+'Свод '!DU46+'Свод '!DW46+'Свод '!DY46+'Свод '!EA46+'Свод '!EC46+'Свод '!EE46+'Свод '!EG46+'Свод '!EI46+'Свод '!EK46+'Свод '!EM46+'Свод '!FK46+'Свод '!FM46+'Свод '!FO46+'Свод '!FQ46+'Свод '!FS46+'Свод '!FU46+'Свод '!FW46+'Свод '!FY46+'Свод '!GA46+'Свод '!GC46+'Свод '!GE46+'Свод '!GG46+'Свод '!GI46+'Свод '!HG46+'Свод '!HI46+'Свод '!HK46+'Свод '!HM46+'Свод '!HO46+'Свод '!HS46+Лист1!C46+Лист1!E46+Лист1!G46+Лист1!I46+Лист1!K46+Лист1!M46+Лист1!O46+Лист1!Q46+'Свод '!DM46</f>
        <v>3983</v>
      </c>
      <c r="AL46" s="144">
        <f>'Свод '!AF46+'Свод '!AJ46+'Свод '!BB46+'Свод '!CB46+'Свод '!CD46+'Свод '!EN46+'Свод '!FD46+'Свод '!FF46+'Свод '!GJ46+'Свод '!GL46+'Свод '!GN46+'Свод '!GP46+'Свод '!GR46+'Свод '!GT46+'Свод '!GV46+'Свод '!GX46+'Свод '!HT46+'Свод '!HV46</f>
        <v>147</v>
      </c>
      <c r="AM46" s="42">
        <f>'Свод '!AG46+'Свод '!AK46+'Свод '!BC46+'Свод '!CC46+'Свод '!CE46+'Свод '!EO46+'Свод '!FE46+'Свод '!FG46+'Свод '!GK46+'Свод '!GM46+'Свод '!GO46+'Свод '!GQ46+'Свод '!GS46+'Свод '!GU46+'Свод '!GW46+'Свод '!GY46+'Свод '!HU46+'Свод '!HW46</f>
        <v>147</v>
      </c>
      <c r="AN46" s="42">
        <f>'Свод '!J46+'Свод '!L46+'Свод '!N46+'Свод '!P46+'Свод '!R46+'Свод '!T46+'Свод '!V46+'Свод '!X46+'Свод '!Z46+'Свод '!AR46+'Свод '!AT46+'Свод '!AV46+'Свод '!AX46+'Свод '!DD46+'Свод '!EP46+'Свод '!ER46+'Свод '!ET46+'Свод '!EV46+'Свод '!EX46+'Свод '!EZ46+'Свод '!GZ46+'Свод '!HB46+T46+V46+Z46+AB46</f>
        <v>1216.3597</v>
      </c>
      <c r="AO46" s="42">
        <f>'Свод '!K46+'Свод '!M46+'Свод '!O46+'Свод '!Q46+'Свод '!S46+'Свод '!U46+'Свод '!W46+'Свод '!Y46+'Свод '!AA46+'Свод '!AS46+'Свод '!AU46+'Свод '!AW46+'Свод '!AY46+'Свод '!DE46+'Свод '!EQ46+'Свод '!ES46+'Свод '!EU46+'Свод '!EW46+'Свод '!EY46+'Свод '!FA46+'Свод '!HA46+'Свод '!HC46+U46+W46+AA46+AC46</f>
        <v>1216.3597</v>
      </c>
    </row>
    <row r="47" spans="1:41" ht="12.75">
      <c r="A47" s="111" t="s">
        <v>143</v>
      </c>
      <c r="B47" s="104"/>
      <c r="C47" s="42"/>
      <c r="D47" s="40"/>
      <c r="E47" s="40"/>
      <c r="F47" s="43"/>
      <c r="G47" s="46"/>
      <c r="H47" s="40"/>
      <c r="I47" s="40"/>
      <c r="J47" s="112"/>
      <c r="K47" s="42"/>
      <c r="L47" s="40"/>
      <c r="M47" s="40"/>
      <c r="N47" s="40"/>
      <c r="O47" s="40"/>
      <c r="P47" s="40"/>
      <c r="Q47" s="40"/>
      <c r="R47" s="42">
        <f t="shared" si="1"/>
        <v>0</v>
      </c>
      <c r="S47" s="42">
        <f t="shared" si="2"/>
        <v>0</v>
      </c>
      <c r="T47" s="42"/>
      <c r="U47" s="42"/>
      <c r="V47" s="40"/>
      <c r="W47" s="40"/>
      <c r="X47" s="42">
        <f t="shared" si="3"/>
        <v>0</v>
      </c>
      <c r="Y47" s="42">
        <f t="shared" si="4"/>
        <v>0</v>
      </c>
      <c r="Z47" s="42"/>
      <c r="AA47" s="42"/>
      <c r="AB47" s="40"/>
      <c r="AC47" s="40"/>
      <c r="AD47" s="42">
        <f t="shared" si="5"/>
        <v>0</v>
      </c>
      <c r="AE47" s="42">
        <f t="shared" si="6"/>
        <v>0</v>
      </c>
      <c r="AF47" s="42">
        <f>'Свод '!AH47+'Свод '!AZ47+'Свод '!BB47+'Свод '!CF47+'Свод '!DF47+'Свод '!DJ47+'Свод '!DP47+'Свод '!FB47+'Свод '!FH47+'Свод '!HD47+'Свод '!HP47+'Свод '!HX47+Лист1!R47+Лист1!AD47+X47</f>
        <v>5511.4251699999995</v>
      </c>
      <c r="AG47" s="42">
        <f>'Свод '!AI47+'Свод '!BA47+'Свод '!BC47+'Свод '!CG47+'Свод '!DG47+'Свод '!DK47+'Свод '!DQ47+'Свод '!FC47+'Свод '!FI47+'Свод '!HE47+'Свод '!HQ47+'Свод '!HY47+Лист1!S47+Лист1!AE47+Y47</f>
        <v>5510.17519</v>
      </c>
      <c r="AH47" s="42">
        <f>'Свод '!B47+'Свод '!D47+'Свод '!F47+'Свод '!H47</f>
        <v>2645.9999999999995</v>
      </c>
      <c r="AI47" s="42">
        <f>'Свод '!C47+'Свод '!E47+'Свод '!G47+'Свод '!I47</f>
        <v>2645.9999999999995</v>
      </c>
      <c r="AJ47" s="39">
        <f>'Свод '!AB47+'Свод '!AD47+'Свод '!AL47+'Свод '!AN47+'Свод '!AP47+'Свод '!BD47+'Свод '!BF47+'Свод '!BH47+'Свод '!BJ47+'Свод '!BL47+'Свод '!BN47+'Свод '!BP47+'Свод '!BR47+'Свод '!BT47+'Свод '!BV47+'Свод '!BX47+'Свод '!BZ47+'Свод '!CH47+'Свод '!CJ47+'Свод '!CL47+'Свод '!CN47+'Свод '!CP47+'Свод '!CR47+'Свод '!CT47+'Свод '!CV47+'Свод '!CX47+'Свод '!CZ47+'Свод '!DB47+'Свод '!DH47+'Свод '!DN47+'Свод '!DR47+'Свод '!DT47+'Свод '!DV47+'Свод '!DX47+'Свод '!DZ47+'Свод '!EB47+'Свод '!ED47+'Свод '!EF47+'Свод '!EH47+'Свод '!EJ47+'Свод '!EL47+'Свод '!FJ47+'Свод '!FL47+'Свод '!FN47+'Свод '!FP47+'Свод '!FR47+'Свод '!FT47+'Свод '!FV47+'Свод '!FX47+'Свод '!FZ47+'Свод '!GB47+'Свод '!GD47+'Свод '!GF47+'Свод '!GH47+'Свод '!HF47+'Свод '!HH47+'Свод '!HJ47+'Свод '!HL47+'Свод '!HN47+'Свод '!HR47+Лист1!B47+Лист1!D47+Лист1!F47+Лист1!H47+Лист1!J47+Лист1!L47+Лист1!N47+Лист1!P47+'Свод '!DL47</f>
        <v>1162</v>
      </c>
      <c r="AK47" s="39">
        <f>'Свод '!AC47+'Свод '!AE47+'Свод '!AM47+'Свод '!AO47+'Свод '!AQ47+'Свод '!BE47+'Свод '!BG47+'Свод '!BI47+'Свод '!BK47+'Свод '!BM47+'Свод '!BO47+'Свод '!BQ47+'Свод '!BS47+'Свод '!BU47+'Свод '!BW47+'Свод '!BY47+'Свод '!CA47+'Свод '!CI47+'Свод '!CK47+'Свод '!CM47+'Свод '!CO47+'Свод '!CQ47+'Свод '!CS47+'Свод '!CU47+'Свод '!CW47+'Свод '!CY47+'Свод '!DA47+'Свод '!DC47+'Свод '!DI47+'Свод '!DO47+'Свод '!DS47+'Свод '!DU47+'Свод '!DW47+'Свод '!DY47+'Свод '!EA47+'Свод '!EC47+'Свод '!EE47+'Свод '!EG47+'Свод '!EI47+'Свод '!EK47+'Свод '!EM47+'Свод '!FK47+'Свод '!FM47+'Свод '!FO47+'Свод '!FQ47+'Свод '!FS47+'Свод '!FU47+'Свод '!FW47+'Свод '!FY47+'Свод '!GA47+'Свод '!GC47+'Свод '!GE47+'Свод '!GG47+'Свод '!GI47+'Свод '!HG47+'Свод '!HI47+'Свод '!HK47+'Свод '!HM47+'Свод '!HO47+'Свод '!HS47+Лист1!C47+Лист1!E47+Лист1!G47+Лист1!I47+Лист1!K47+Лист1!M47+Лист1!O47+Лист1!Q47+'Свод '!DM47</f>
        <v>1162</v>
      </c>
      <c r="AL47" s="144">
        <f>'Свод '!AF47+'Свод '!AJ47+'Свод '!BB47+'Свод '!CB47+'Свод '!CD47+'Свод '!EN47+'Свод '!FD47+'Свод '!FF47+'Свод '!GJ47+'Свод '!GL47+'Свод '!GN47+'Свод '!GP47+'Свод '!GR47+'Свод '!GT47+'Свод '!GV47+'Свод '!GX47+'Свод '!HT47+'Свод '!HV47</f>
        <v>147</v>
      </c>
      <c r="AM47" s="42">
        <f>'Свод '!AG47+'Свод '!AK47+'Свод '!BC47+'Свод '!CC47+'Свод '!CE47+'Свод '!EO47+'Свод '!FE47+'Свод '!FG47+'Свод '!GK47+'Свод '!GM47+'Свод '!GO47+'Свод '!GQ47+'Свод '!GS47+'Свод '!GU47+'Свод '!GW47+'Свод '!GY47+'Свод '!HU47+'Свод '!HW47</f>
        <v>146.99999999999997</v>
      </c>
      <c r="AN47" s="42">
        <f>'Свод '!J47+'Свод '!L47+'Свод '!N47+'Свод '!P47+'Свод '!R47+'Свод '!T47+'Свод '!V47+'Свод '!X47+'Свод '!Z47+'Свод '!AR47+'Свод '!AT47+'Свод '!AV47+'Свод '!AX47+'Свод '!DD47+'Свод '!EP47+'Свод '!ER47+'Свод '!ET47+'Свод '!EV47+'Свод '!EX47+'Свод '!EZ47+'Свод '!GZ47+'Свод '!HB47+T47+V47+Z47+AB47</f>
        <v>1556.42517</v>
      </c>
      <c r="AO47" s="42">
        <f>'Свод '!K47+'Свод '!M47+'Свод '!O47+'Свод '!Q47+'Свод '!S47+'Свод '!U47+'Свод '!W47+'Свод '!Y47+'Свод '!AA47+'Свод '!AS47+'Свод '!AU47+'Свод '!AW47+'Свод '!AY47+'Свод '!DE47+'Свод '!EQ47+'Свод '!ES47+'Свод '!EU47+'Свод '!EW47+'Свод '!EY47+'Свод '!FA47+'Свод '!HA47+'Свод '!HC47+U47+W47+AA47+AC47</f>
        <v>1555.17519</v>
      </c>
    </row>
    <row r="48" spans="1:41" ht="12.75" customHeight="1">
      <c r="A48" s="111" t="s">
        <v>142</v>
      </c>
      <c r="B48" s="104"/>
      <c r="C48" s="42"/>
      <c r="D48" s="40"/>
      <c r="E48" s="40"/>
      <c r="F48" s="43"/>
      <c r="G48" s="46"/>
      <c r="H48" s="40"/>
      <c r="I48" s="40"/>
      <c r="J48" s="112"/>
      <c r="K48" s="42"/>
      <c r="L48" s="40"/>
      <c r="M48" s="40"/>
      <c r="N48" s="40"/>
      <c r="O48" s="40"/>
      <c r="P48" s="40"/>
      <c r="Q48" s="40"/>
      <c r="R48" s="42">
        <f t="shared" si="1"/>
        <v>0</v>
      </c>
      <c r="S48" s="42">
        <f t="shared" si="2"/>
        <v>0</v>
      </c>
      <c r="T48" s="42"/>
      <c r="U48" s="42"/>
      <c r="V48" s="40"/>
      <c r="W48" s="40"/>
      <c r="X48" s="42">
        <f t="shared" si="3"/>
        <v>0</v>
      </c>
      <c r="Y48" s="42">
        <f t="shared" si="4"/>
        <v>0</v>
      </c>
      <c r="Z48" s="42"/>
      <c r="AA48" s="42"/>
      <c r="AB48" s="40"/>
      <c r="AC48" s="40"/>
      <c r="AD48" s="42">
        <f t="shared" si="5"/>
        <v>0</v>
      </c>
      <c r="AE48" s="42">
        <f t="shared" si="6"/>
        <v>0</v>
      </c>
      <c r="AF48" s="42">
        <f>'Свод '!AH48+'Свод '!AZ48+'Свод '!BB48+'Свод '!CF48+'Свод '!DF48+'Свод '!DJ48+'Свод '!DP48+'Свод '!FB48+'Свод '!FH48+'Свод '!HD48+'Свод '!HP48+'Свод '!HX48+Лист1!R48+Лист1!AD48+X48</f>
        <v>9902.76761</v>
      </c>
      <c r="AG48" s="42">
        <f>'Свод '!AI48+'Свод '!BA48+'Свод '!BC48+'Свод '!CG48+'Свод '!DG48+'Свод '!DK48+'Свод '!DQ48+'Свод '!FC48+'Свод '!FI48+'Свод '!HE48+'Свод '!HQ48+'Свод '!HY48+Лист1!S48+Лист1!AE48+Y48</f>
        <v>9891.42532</v>
      </c>
      <c r="AH48" s="42">
        <f>'Свод '!B48+'Свод '!D48+'Свод '!F48+'Свод '!H48</f>
        <v>2145</v>
      </c>
      <c r="AI48" s="42">
        <f>'Свод '!C48+'Свод '!E48+'Свод '!G48+'Свод '!I48</f>
        <v>2145</v>
      </c>
      <c r="AJ48" s="39">
        <f>'Свод '!AB48+'Свод '!AD48+'Свод '!AL48+'Свод '!AN48+'Свод '!AP48+'Свод '!BD48+'Свод '!BF48+'Свод '!BH48+'Свод '!BJ48+'Свод '!BL48+'Свод '!BN48+'Свод '!BP48+'Свод '!BR48+'Свод '!BT48+'Свод '!BV48+'Свод '!BX48+'Свод '!BZ48+'Свод '!CH48+'Свод '!CJ48+'Свод '!CL48+'Свод '!CN48+'Свод '!CP48+'Свод '!CR48+'Свод '!CT48+'Свод '!CV48+'Свод '!CX48+'Свод '!CZ48+'Свод '!DB48+'Свод '!DH48+'Свод '!DN48+'Свод '!DR48+'Свод '!DT48+'Свод '!DV48+'Свод '!DX48+'Свод '!DZ48+'Свод '!EB48+'Свод '!ED48+'Свод '!EF48+'Свод '!EH48+'Свод '!EJ48+'Свод '!EL48+'Свод '!FJ48+'Свод '!FL48+'Свод '!FN48+'Свод '!FP48+'Свод '!FR48+'Свод '!FT48+'Свод '!FV48+'Свод '!FX48+'Свод '!FZ48+'Свод '!GB48+'Свод '!GD48+'Свод '!GF48+'Свод '!GH48+'Свод '!HF48+'Свод '!HH48+'Свод '!HJ48+'Свод '!HL48+'Свод '!HN48+'Свод '!HR48+Лист1!B48+Лист1!D48+Лист1!F48+Лист1!H48+Лист1!J48+Лист1!L48+Лист1!N48+Лист1!P48+'Свод '!DL48</f>
        <v>7539.02303</v>
      </c>
      <c r="AK48" s="39">
        <f>'Свод '!AC48+'Свод '!AE48+'Свод '!AM48+'Свод '!AO48+'Свод '!AQ48+'Свод '!BE48+'Свод '!BG48+'Свод '!BI48+'Свод '!BK48+'Свод '!BM48+'Свод '!BO48+'Свод '!BQ48+'Свод '!BS48+'Свод '!BU48+'Свод '!BW48+'Свод '!BY48+'Свод '!CA48+'Свод '!CI48+'Свод '!CK48+'Свод '!CM48+'Свод '!CO48+'Свод '!CQ48+'Свод '!CS48+'Свод '!CU48+'Свод '!CW48+'Свод '!CY48+'Свод '!DA48+'Свод '!DC48+'Свод '!DI48+'Свод '!DO48+'Свод '!DS48+'Свод '!DU48+'Свод '!DW48+'Свод '!DY48+'Свод '!EA48+'Свод '!EC48+'Свод '!EE48+'Свод '!EG48+'Свод '!EI48+'Свод '!EK48+'Свод '!EM48+'Свод '!FK48+'Свод '!FM48+'Свод '!FO48+'Свод '!FQ48+'Свод '!FS48+'Свод '!FU48+'Свод '!FW48+'Свод '!FY48+'Свод '!GA48+'Свод '!GC48+'Свод '!GE48+'Свод '!GG48+'Свод '!GI48+'Свод '!HG48+'Свод '!HI48+'Свод '!HK48+'Свод '!HM48+'Свод '!HO48+'Свод '!HS48+Лист1!C48+Лист1!E48+Лист1!G48+Лист1!I48+Лист1!K48+Лист1!M48+Лист1!O48+Лист1!Q48+'Свод '!DM48</f>
        <v>7531.623030000001</v>
      </c>
      <c r="AL48" s="144">
        <f>'Свод '!AF48+'Свод '!AJ48+'Свод '!BB48+'Свод '!CB48+'Свод '!CD48+'Свод '!EN48+'Свод '!FD48+'Свод '!FF48+'Свод '!GJ48+'Свод '!GL48+'Свод '!GN48+'Свод '!GP48+'Свод '!GR48+'Свод '!GT48+'Свод '!GV48+'Свод '!GX48+'Свод '!HT48+'Свод '!HV48</f>
        <v>147</v>
      </c>
      <c r="AM48" s="42">
        <f>'Свод '!AG48+'Свод '!AK48+'Свод '!BC48+'Свод '!CC48+'Свод '!CE48+'Свод '!EO48+'Свод '!FE48+'Свод '!FG48+'Свод '!GK48+'Свод '!GM48+'Свод '!GO48+'Свод '!GQ48+'Свод '!GS48+'Свод '!GU48+'Свод '!GW48+'Свод '!GY48+'Свод '!HU48+'Свод '!HW48</f>
        <v>147</v>
      </c>
      <c r="AN48" s="42">
        <f>'Свод '!J48+'Свод '!L48+'Свод '!N48+'Свод '!P48+'Свод '!R48+'Свод '!T48+'Свод '!V48+'Свод '!X48+'Свод '!Z48+'Свод '!AR48+'Свод '!AT48+'Свод '!AV48+'Свод '!AX48+'Свод '!DD48+'Свод '!EP48+'Свод '!ER48+'Свод '!ET48+'Свод '!EV48+'Свод '!EX48+'Свод '!EZ48+'Свод '!GZ48+'Свод '!HB48+T48+V48+Z48+AB48</f>
        <v>71.74458</v>
      </c>
      <c r="AO48" s="42">
        <f>'Свод '!K48+'Свод '!M48+'Свод '!O48+'Свод '!Q48+'Свод '!S48+'Свод '!U48+'Свод '!W48+'Свод '!Y48+'Свод '!AA48+'Свод '!AS48+'Свод '!AU48+'Свод '!AW48+'Свод '!AY48+'Свод '!DE48+'Свод '!EQ48+'Свод '!ES48+'Свод '!EU48+'Свод '!EW48+'Свод '!EY48+'Свод '!FA48+'Свод '!HA48+'Свод '!HC48+U48+W48+AA48+AC48</f>
        <v>67.80229</v>
      </c>
    </row>
    <row r="49" spans="1:41" ht="12.75">
      <c r="A49" s="111" t="s">
        <v>141</v>
      </c>
      <c r="B49" s="104"/>
      <c r="C49" s="42"/>
      <c r="D49" s="40"/>
      <c r="E49" s="40"/>
      <c r="F49" s="43"/>
      <c r="G49" s="46"/>
      <c r="H49" s="40"/>
      <c r="I49" s="40"/>
      <c r="J49" s="112"/>
      <c r="K49" s="42"/>
      <c r="L49" s="40"/>
      <c r="M49" s="40"/>
      <c r="N49" s="40"/>
      <c r="O49" s="40"/>
      <c r="P49" s="40"/>
      <c r="Q49" s="40"/>
      <c r="R49" s="42">
        <f t="shared" si="1"/>
        <v>0</v>
      </c>
      <c r="S49" s="42">
        <f t="shared" si="2"/>
        <v>0</v>
      </c>
      <c r="T49" s="42"/>
      <c r="U49" s="42"/>
      <c r="V49" s="40"/>
      <c r="W49" s="40"/>
      <c r="X49" s="42">
        <f t="shared" si="3"/>
        <v>0</v>
      </c>
      <c r="Y49" s="42">
        <f t="shared" si="4"/>
        <v>0</v>
      </c>
      <c r="Z49" s="42"/>
      <c r="AA49" s="42"/>
      <c r="AB49" s="40"/>
      <c r="AC49" s="40"/>
      <c r="AD49" s="42">
        <f t="shared" si="5"/>
        <v>0</v>
      </c>
      <c r="AE49" s="42">
        <f t="shared" si="6"/>
        <v>0</v>
      </c>
      <c r="AF49" s="42">
        <f>'Свод '!AH49+'Свод '!AZ49+'Свод '!BB49+'Свод '!CF49+'Свод '!DF49+'Свод '!DJ49+'Свод '!DP49+'Свод '!FB49+'Свод '!FH49+'Свод '!HD49+'Свод '!HP49+'Свод '!HX49+Лист1!R49+Лист1!AD49+X49</f>
        <v>1764.75529</v>
      </c>
      <c r="AG49" s="42">
        <f>'Свод '!AI49+'Свод '!BA49+'Свод '!BC49+'Свод '!CG49+'Свод '!DG49+'Свод '!DK49+'Свод '!DQ49+'Свод '!FC49+'Свод '!FI49+'Свод '!HE49+'Свод '!HQ49+'Свод '!HY49+Лист1!S49+Лист1!AE49+Y49</f>
        <v>1710.02334</v>
      </c>
      <c r="AH49" s="42">
        <f>'Свод '!B49+'Свод '!D49+'Свод '!F49+'Свод '!H49</f>
        <v>474</v>
      </c>
      <c r="AI49" s="42">
        <f>'Свод '!C49+'Свод '!E49+'Свод '!G49+'Свод '!I49</f>
        <v>474</v>
      </c>
      <c r="AJ49" s="39">
        <f>'Свод '!AB49+'Свод '!AD49+'Свод '!AL49+'Свод '!AN49+'Свод '!AP49+'Свод '!BD49+'Свод '!BF49+'Свод '!BH49+'Свод '!BJ49+'Свод '!BL49+'Свод '!BN49+'Свод '!BP49+'Свод '!BR49+'Свод '!BT49+'Свод '!BV49+'Свод '!BX49+'Свод '!BZ49+'Свод '!CH49+'Свод '!CJ49+'Свод '!CL49+'Свод '!CN49+'Свод '!CP49+'Свод '!CR49+'Свод '!CT49+'Свод '!CV49+'Свод '!CX49+'Свод '!CZ49+'Свод '!DB49+'Свод '!DH49+'Свод '!DN49+'Свод '!DR49+'Свод '!DT49+'Свод '!DV49+'Свод '!DX49+'Свод '!DZ49+'Свод '!EB49+'Свод '!ED49+'Свод '!EF49+'Свод '!EH49+'Свод '!EJ49+'Свод '!EL49+'Свод '!FJ49+'Свод '!FL49+'Свод '!FN49+'Свод '!FP49+'Свод '!FR49+'Свод '!FT49+'Свод '!FV49+'Свод '!FX49+'Свод '!FZ49+'Свод '!GB49+'Свод '!GD49+'Свод '!GF49+'Свод '!GH49+'Свод '!HF49+'Свод '!HH49+'Свод '!HJ49+'Свод '!HL49+'Свод '!HN49+'Свод '!HR49+Лист1!B49+Лист1!D49+Лист1!F49+Лист1!H49+Лист1!J49+Лист1!L49+Лист1!N49+Лист1!P49+'Свод '!DL49</f>
        <v>429.52</v>
      </c>
      <c r="AK49" s="39">
        <f>'Свод '!AC49+'Свод '!AE49+'Свод '!AM49+'Свод '!AO49+'Свод '!AQ49+'Свод '!BE49+'Свод '!BG49+'Свод '!BI49+'Свод '!BK49+'Свод '!BM49+'Свод '!BO49+'Свод '!BQ49+'Свод '!BS49+'Свод '!BU49+'Свод '!BW49+'Свод '!BY49+'Свод '!CA49+'Свод '!CI49+'Свод '!CK49+'Свод '!CM49+'Свод '!CO49+'Свод '!CQ49+'Свод '!CS49+'Свод '!CU49+'Свод '!CW49+'Свод '!CY49+'Свод '!DA49+'Свод '!DC49+'Свод '!DI49+'Свод '!DO49+'Свод '!DS49+'Свод '!DU49+'Свод '!DW49+'Свод '!DY49+'Свод '!EA49+'Свод '!EC49+'Свод '!EE49+'Свод '!EG49+'Свод '!EI49+'Свод '!EK49+'Свод '!EM49+'Свод '!FK49+'Свод '!FM49+'Свод '!FO49+'Свод '!FQ49+'Свод '!FS49+'Свод '!FU49+'Свод '!FW49+'Свод '!FY49+'Свод '!GA49+'Свод '!GC49+'Свод '!GE49+'Свод '!GG49+'Свод '!GI49+'Свод '!HG49+'Свод '!HI49+'Свод '!HK49+'Свод '!HM49+'Свод '!HO49+'Свод '!HS49+Лист1!C49+Лист1!E49+Лист1!G49+Лист1!I49+Лист1!K49+Лист1!M49+Лист1!O49+Лист1!Q49+'Свод '!DM49</f>
        <v>378.71999999999997</v>
      </c>
      <c r="AL49" s="144">
        <f>'Свод '!AF49+'Свод '!AJ49+'Свод '!BB49+'Свод '!CB49+'Свод '!CD49+'Свод '!EN49+'Свод '!FD49+'Свод '!FF49+'Свод '!GJ49+'Свод '!GL49+'Свод '!GN49+'Свод '!GP49+'Свод '!GR49+'Свод '!GT49+'Свод '!GV49+'Свод '!GX49+'Свод '!HT49+'Свод '!HV49</f>
        <v>147</v>
      </c>
      <c r="AM49" s="42">
        <f>'Свод '!AG49+'Свод '!AK49+'Свод '!BC49+'Свод '!CC49+'Свод '!CE49+'Свод '!EO49+'Свод '!FE49+'Свод '!FG49+'Свод '!GK49+'Свод '!GM49+'Свод '!GO49+'Свод '!GQ49+'Свод '!GS49+'Свод '!GU49+'Свод '!GW49+'Свод '!GY49+'Свод '!HU49+'Свод '!HW49</f>
        <v>147</v>
      </c>
      <c r="AN49" s="42">
        <f>'Свод '!J49+'Свод '!L49+'Свод '!N49+'Свод '!P49+'Свод '!R49+'Свод '!T49+'Свод '!V49+'Свод '!X49+'Свод '!Z49+'Свод '!AR49+'Свод '!AT49+'Свод '!AV49+'Свод '!AX49+'Свод '!DD49+'Свод '!EP49+'Свод '!ER49+'Свод '!ET49+'Свод '!EV49+'Свод '!EX49+'Свод '!EZ49+'Свод '!GZ49+'Свод '!HB49+T49+V49+Z49+AB49</f>
        <v>714.23529</v>
      </c>
      <c r="AO49" s="42">
        <f>'Свод '!K49+'Свод '!M49+'Свод '!O49+'Свод '!Q49+'Свод '!S49+'Свод '!U49+'Свод '!W49+'Свод '!Y49+'Свод '!AA49+'Свод '!AS49+'Свод '!AU49+'Свод '!AW49+'Свод '!AY49+'Свод '!DE49+'Свод '!EQ49+'Свод '!ES49+'Свод '!EU49+'Свод '!EW49+'Свод '!EY49+'Свод '!FA49+'Свод '!HA49+'Свод '!HC49+U49+W49+AA49+AC49</f>
        <v>710.3033399999999</v>
      </c>
    </row>
    <row r="50" spans="1:41" ht="12.75" customHeight="1">
      <c r="A50" s="111" t="s">
        <v>140</v>
      </c>
      <c r="B50" s="104"/>
      <c r="C50" s="42"/>
      <c r="D50" s="40"/>
      <c r="E50" s="40"/>
      <c r="F50" s="43"/>
      <c r="G50" s="46"/>
      <c r="H50" s="40"/>
      <c r="I50" s="40"/>
      <c r="J50" s="112"/>
      <c r="K50" s="42"/>
      <c r="L50" s="40"/>
      <c r="M50" s="40"/>
      <c r="N50" s="40"/>
      <c r="O50" s="40"/>
      <c r="P50" s="40"/>
      <c r="Q50" s="40"/>
      <c r="R50" s="42">
        <f t="shared" si="1"/>
        <v>0</v>
      </c>
      <c r="S50" s="42">
        <f t="shared" si="2"/>
        <v>0</v>
      </c>
      <c r="T50" s="42"/>
      <c r="U50" s="42"/>
      <c r="V50" s="40"/>
      <c r="W50" s="40"/>
      <c r="X50" s="42">
        <f t="shared" si="3"/>
        <v>0</v>
      </c>
      <c r="Y50" s="42">
        <f t="shared" si="4"/>
        <v>0</v>
      </c>
      <c r="Z50" s="42"/>
      <c r="AA50" s="42"/>
      <c r="AB50" s="40"/>
      <c r="AC50" s="40"/>
      <c r="AD50" s="42">
        <f t="shared" si="5"/>
        <v>0</v>
      </c>
      <c r="AE50" s="42">
        <f t="shared" si="6"/>
        <v>0</v>
      </c>
      <c r="AF50" s="42">
        <f>'Свод '!AH50+'Свод '!AZ50+'Свод '!BB50+'Свод '!CF50+'Свод '!DF50+'Свод '!DJ50+'Свод '!DP50+'Свод '!FB50+'Свод '!FH50+'Свод '!HD50+'Свод '!HP50+'Свод '!HX50+Лист1!R50+Лист1!AD50+X50</f>
        <v>8995.6267</v>
      </c>
      <c r="AG50" s="42">
        <f>'Свод '!AI50+'Свод '!BA50+'Свод '!BC50+'Свод '!CG50+'Свод '!DG50+'Свод '!DK50+'Свод '!DQ50+'Свод '!FC50+'Свод '!FI50+'Свод '!HE50+'Свод '!HQ50+'Свод '!HY50+Лист1!S50+Лист1!AE50+Y50</f>
        <v>8995.6267</v>
      </c>
      <c r="AH50" s="42">
        <f>'Свод '!B50+'Свод '!D50+'Свод '!F50+'Свод '!H50</f>
        <v>4571</v>
      </c>
      <c r="AI50" s="42">
        <f>'Свод '!C50+'Свод '!E50+'Свод '!G50+'Свод '!I50</f>
        <v>4571</v>
      </c>
      <c r="AJ50" s="39">
        <f>'Свод '!AB50+'Свод '!AD50+'Свод '!AL50+'Свод '!AN50+'Свод '!AP50+'Свод '!BD50+'Свод '!BF50+'Свод '!BH50+'Свод '!BJ50+'Свод '!BL50+'Свод '!BN50+'Свод '!BP50+'Свод '!BR50+'Свод '!BT50+'Свод '!BV50+'Свод '!BX50+'Свод '!BZ50+'Свод '!CH50+'Свод '!CJ50+'Свод '!CL50+'Свод '!CN50+'Свод '!CP50+'Свод '!CR50+'Свод '!CT50+'Свод '!CV50+'Свод '!CX50+'Свод '!CZ50+'Свод '!DB50+'Свод '!DH50+'Свод '!DN50+'Свод '!DR50+'Свод '!DT50+'Свод '!DV50+'Свод '!DX50+'Свод '!DZ50+'Свод '!EB50+'Свод '!ED50+'Свод '!EF50+'Свод '!EH50+'Свод '!EJ50+'Свод '!EL50+'Свод '!FJ50+'Свод '!FL50+'Свод '!FN50+'Свод '!FP50+'Свод '!FR50+'Свод '!FT50+'Свод '!FV50+'Свод '!FX50+'Свод '!FZ50+'Свод '!GB50+'Свод '!GD50+'Свод '!GF50+'Свод '!GH50+'Свод '!HF50+'Свод '!HH50+'Свод '!HJ50+'Свод '!HL50+'Свод '!HN50+'Свод '!HR50+Лист1!B50+Лист1!D50+Лист1!F50+Лист1!H50+Лист1!J50+Лист1!L50+Лист1!N50+Лист1!P50+'Свод '!DL50</f>
        <v>4017.52</v>
      </c>
      <c r="AK50" s="39">
        <f>'Свод '!AC50+'Свод '!AE50+'Свод '!AM50+'Свод '!AO50+'Свод '!AQ50+'Свод '!BE50+'Свод '!BG50+'Свод '!BI50+'Свод '!BK50+'Свод '!BM50+'Свод '!BO50+'Свод '!BQ50+'Свод '!BS50+'Свод '!BU50+'Свод '!BW50+'Свод '!BY50+'Свод '!CA50+'Свод '!CI50+'Свод '!CK50+'Свод '!CM50+'Свод '!CO50+'Свод '!CQ50+'Свод '!CS50+'Свод '!CU50+'Свод '!CW50+'Свод '!CY50+'Свод '!DA50+'Свод '!DC50+'Свод '!DI50+'Свод '!DO50+'Свод '!DS50+'Свод '!DU50+'Свод '!DW50+'Свод '!DY50+'Свод '!EA50+'Свод '!EC50+'Свод '!EE50+'Свод '!EG50+'Свод '!EI50+'Свод '!EK50+'Свод '!EM50+'Свод '!FK50+'Свод '!FM50+'Свод '!FO50+'Свод '!FQ50+'Свод '!FS50+'Свод '!FU50+'Свод '!FW50+'Свод '!FY50+'Свод '!GA50+'Свод '!GC50+'Свод '!GE50+'Свод '!GG50+'Свод '!GI50+'Свод '!HG50+'Свод '!HI50+'Свод '!HK50+'Свод '!HM50+'Свод '!HO50+'Свод '!HS50+Лист1!C50+Лист1!E50+Лист1!G50+Лист1!I50+Лист1!K50+Лист1!M50+Лист1!O50+Лист1!Q50+'Свод '!DM50</f>
        <v>4017.52</v>
      </c>
      <c r="AL50" s="144">
        <f>'Свод '!AF50+'Свод '!AJ50+'Свод '!BB50+'Свод '!CB50+'Свод '!CD50+'Свод '!EN50+'Свод '!FD50+'Свод '!FF50+'Свод '!GJ50+'Свод '!GL50+'Свод '!GN50+'Свод '!GP50+'Свод '!GR50+'Свод '!GT50+'Свод '!GV50+'Свод '!GX50+'Свод '!HT50+'Свод '!HV50</f>
        <v>147</v>
      </c>
      <c r="AM50" s="42">
        <f>'Свод '!AG50+'Свод '!AK50+'Свод '!BC50+'Свод '!CC50+'Свод '!CE50+'Свод '!EO50+'Свод '!FE50+'Свод '!FG50+'Свод '!GK50+'Свод '!GM50+'Свод '!GO50+'Свод '!GQ50+'Свод '!GS50+'Свод '!GU50+'Свод '!GW50+'Свод '!GY50+'Свод '!HU50+'Свод '!HW50</f>
        <v>147</v>
      </c>
      <c r="AN50" s="42">
        <f>'Свод '!J50+'Свод '!L50+'Свод '!N50+'Свод '!P50+'Свод '!R50+'Свод '!T50+'Свод '!V50+'Свод '!X50+'Свод '!Z50+'Свод '!AR50+'Свод '!AT50+'Свод '!AV50+'Свод '!AX50+'Свод '!DD50+'Свод '!EP50+'Свод '!ER50+'Свод '!ET50+'Свод '!EV50+'Свод '!EX50+'Свод '!EZ50+'Свод '!GZ50+'Свод '!HB50+T50+V50+Z50+AB50</f>
        <v>260.1067</v>
      </c>
      <c r="AO50" s="42">
        <f>'Свод '!K50+'Свод '!M50+'Свод '!O50+'Свод '!Q50+'Свод '!S50+'Свод '!U50+'Свод '!W50+'Свод '!Y50+'Свод '!AA50+'Свод '!AS50+'Свод '!AU50+'Свод '!AW50+'Свод '!AY50+'Свод '!DE50+'Свод '!EQ50+'Свод '!ES50+'Свод '!EU50+'Свод '!EW50+'Свод '!EY50+'Свод '!FA50+'Свод '!HA50+'Свод '!HC50+U50+W50+AA50+AC50</f>
        <v>260.10670000000005</v>
      </c>
    </row>
    <row r="51" spans="1:41" ht="12.75">
      <c r="A51" s="111" t="s">
        <v>139</v>
      </c>
      <c r="B51" s="104"/>
      <c r="C51" s="42"/>
      <c r="D51" s="40"/>
      <c r="E51" s="40"/>
      <c r="F51" s="43"/>
      <c r="G51" s="46"/>
      <c r="H51" s="40"/>
      <c r="I51" s="40"/>
      <c r="J51" s="112"/>
      <c r="K51" s="42"/>
      <c r="L51" s="40"/>
      <c r="M51" s="40"/>
      <c r="N51" s="40"/>
      <c r="O51" s="40"/>
      <c r="P51" s="40"/>
      <c r="Q51" s="40"/>
      <c r="R51" s="42">
        <f t="shared" si="1"/>
        <v>0</v>
      </c>
      <c r="S51" s="42">
        <f t="shared" si="2"/>
        <v>0</v>
      </c>
      <c r="T51" s="42"/>
      <c r="U51" s="42"/>
      <c r="V51" s="40"/>
      <c r="W51" s="40"/>
      <c r="X51" s="42">
        <f t="shared" si="3"/>
        <v>0</v>
      </c>
      <c r="Y51" s="42">
        <f t="shared" si="4"/>
        <v>0</v>
      </c>
      <c r="Z51" s="42"/>
      <c r="AA51" s="42"/>
      <c r="AB51" s="40"/>
      <c r="AC51" s="40"/>
      <c r="AD51" s="42">
        <f t="shared" si="5"/>
        <v>0</v>
      </c>
      <c r="AE51" s="42">
        <f t="shared" si="6"/>
        <v>0</v>
      </c>
      <c r="AF51" s="42">
        <f>'Свод '!AH51+'Свод '!AZ51+'Свод '!BB51+'Свод '!CF51+'Свод '!DF51+'Свод '!DJ51+'Свод '!DP51+'Свод '!FB51+'Свод '!FH51+'Свод '!HD51+'Свод '!HP51+'Свод '!HX51+Лист1!R51+Лист1!AD51+X51</f>
        <v>4465.441000000001</v>
      </c>
      <c r="AG51" s="42">
        <f>'Свод '!AI51+'Свод '!BA51+'Свод '!BC51+'Свод '!CG51+'Свод '!DG51+'Свод '!DK51+'Свод '!DQ51+'Свод '!FC51+'Свод '!FI51+'Свод '!HE51+'Свод '!HQ51+'Свод '!HY51+Лист1!S51+Лист1!AE51+Y51</f>
        <v>4465.437</v>
      </c>
      <c r="AH51" s="42">
        <f>'Свод '!B51+'Свод '!D51+'Свод '!F51+'Свод '!H51</f>
        <v>1757</v>
      </c>
      <c r="AI51" s="42">
        <f>'Свод '!C51+'Свод '!E51+'Свод '!G51+'Свод '!I51</f>
        <v>1757</v>
      </c>
      <c r="AJ51" s="39">
        <f>'Свод '!AB51+'Свод '!AD51+'Свод '!AL51+'Свод '!AN51+'Свод '!AP51+'Свод '!BD51+'Свод '!BF51+'Свод '!BH51+'Свод '!BJ51+'Свод '!BL51+'Свод '!BN51+'Свод '!BP51+'Свод '!BR51+'Свод '!BT51+'Свод '!BV51+'Свод '!BX51+'Свод '!BZ51+'Свод '!CH51+'Свод '!CJ51+'Свод '!CL51+'Свод '!CN51+'Свод '!CP51+'Свод '!CR51+'Свод '!CT51+'Свод '!CV51+'Свод '!CX51+'Свод '!CZ51+'Свод '!DB51+'Свод '!DH51+'Свод '!DN51+'Свод '!DR51+'Свод '!DT51+'Свод '!DV51+'Свод '!DX51+'Свод '!DZ51+'Свод '!EB51+'Свод '!ED51+'Свод '!EF51+'Свод '!EH51+'Свод '!EJ51+'Свод '!EL51+'Свод '!FJ51+'Свод '!FL51+'Свод '!FN51+'Свод '!FP51+'Свод '!FR51+'Свод '!FT51+'Свод '!FV51+'Свод '!FX51+'Свод '!FZ51+'Свод '!GB51+'Свод '!GD51+'Свод '!GF51+'Свод '!GH51+'Свод '!HF51+'Свод '!HH51+'Свод '!HJ51+'Свод '!HL51+'Свод '!HN51+'Свод '!HR51+Лист1!B51+Лист1!D51+Лист1!F51+Лист1!H51+Лист1!J51+Лист1!L51+Лист1!N51+Лист1!P51+'Свод '!DL51</f>
        <v>869.241</v>
      </c>
      <c r="AK51" s="39">
        <f>'Свод '!AC51+'Свод '!AE51+'Свод '!AM51+'Свод '!AO51+'Свод '!AQ51+'Свод '!BE51+'Свод '!BG51+'Свод '!BI51+'Свод '!BK51+'Свод '!BM51+'Свод '!BO51+'Свод '!BQ51+'Свод '!BS51+'Свод '!BU51+'Свод '!BW51+'Свод '!BY51+'Свод '!CA51+'Свод '!CI51+'Свод '!CK51+'Свод '!CM51+'Свод '!CO51+'Свод '!CQ51+'Свод '!CS51+'Свод '!CU51+'Свод '!CW51+'Свод '!CY51+'Свод '!DA51+'Свод '!DC51+'Свод '!DI51+'Свод '!DO51+'Свод '!DS51+'Свод '!DU51+'Свод '!DW51+'Свод '!DY51+'Свод '!EA51+'Свод '!EC51+'Свод '!EE51+'Свод '!EG51+'Свод '!EI51+'Свод '!EK51+'Свод '!EM51+'Свод '!FK51+'Свод '!FM51+'Свод '!FO51+'Свод '!FQ51+'Свод '!FS51+'Свод '!FU51+'Свод '!FW51+'Свод '!FY51+'Свод '!GA51+'Свод '!GC51+'Свод '!GE51+'Свод '!GG51+'Свод '!GI51+'Свод '!HG51+'Свод '!HI51+'Свод '!HK51+'Свод '!HM51+'Свод '!HO51+'Свод '!HS51+Лист1!C51+Лист1!E51+Лист1!G51+Лист1!I51+Лист1!K51+Лист1!M51+Лист1!O51+Лист1!Q51+'Свод '!DM51</f>
        <v>869.237</v>
      </c>
      <c r="AL51" s="144">
        <f>'Свод '!AF51+'Свод '!AJ51+'Свод '!BB51+'Свод '!CB51+'Свод '!CD51+'Свод '!EN51+'Свод '!FD51+'Свод '!FF51+'Свод '!GJ51+'Свод '!GL51+'Свод '!GN51+'Свод '!GP51+'Свод '!GR51+'Свод '!GT51+'Свод '!GV51+'Свод '!GX51+'Свод '!HT51+'Свод '!HV51</f>
        <v>147</v>
      </c>
      <c r="AM51" s="42">
        <f>'Свод '!AG51+'Свод '!AK51+'Свод '!BC51+'Свод '!CC51+'Свод '!CE51+'Свод '!EO51+'Свод '!FE51+'Свод '!FG51+'Свод '!GK51+'Свод '!GM51+'Свод '!GO51+'Свод '!GQ51+'Свод '!GS51+'Свод '!GU51+'Свод '!GW51+'Свод '!GY51+'Свод '!HU51+'Свод '!HW51</f>
        <v>147.00000000000003</v>
      </c>
      <c r="AN51" s="42">
        <f>'Свод '!J51+'Свод '!L51+'Свод '!N51+'Свод '!P51+'Свод '!R51+'Свод '!T51+'Свод '!V51+'Свод '!X51+'Свод '!Z51+'Свод '!AR51+'Свод '!AT51+'Свод '!AV51+'Свод '!AX51+'Свод '!DD51+'Свод '!EP51+'Свод '!ER51+'Свод '!ET51+'Свод '!EV51+'Свод '!EX51+'Свод '!EZ51+'Свод '!GZ51+'Свод '!HB51+T51+V51+Z51+AB51</f>
        <v>1692.2</v>
      </c>
      <c r="AO51" s="42">
        <f>'Свод '!K51+'Свод '!M51+'Свод '!O51+'Свод '!Q51+'Свод '!S51+'Свод '!U51+'Свод '!W51+'Свод '!Y51+'Свод '!AA51+'Свод '!AS51+'Свод '!AU51+'Свод '!AW51+'Свод '!AY51+'Свод '!DE51+'Свод '!EQ51+'Свод '!ES51+'Свод '!EU51+'Свод '!EW51+'Свод '!EY51+'Свод '!FA51+'Свод '!HA51+'Свод '!HC51+U51+W51+AA51+AC51</f>
        <v>1692.2</v>
      </c>
    </row>
    <row r="52" spans="1:41" ht="12.75" customHeight="1">
      <c r="A52" s="111" t="s">
        <v>138</v>
      </c>
      <c r="B52" s="104"/>
      <c r="C52" s="42"/>
      <c r="D52" s="40"/>
      <c r="E52" s="40"/>
      <c r="F52" s="43"/>
      <c r="G52" s="46"/>
      <c r="H52" s="40"/>
      <c r="I52" s="40"/>
      <c r="J52" s="112"/>
      <c r="K52" s="42"/>
      <c r="L52" s="40"/>
      <c r="M52" s="40"/>
      <c r="N52" s="40"/>
      <c r="O52" s="40"/>
      <c r="P52" s="40"/>
      <c r="Q52" s="40"/>
      <c r="R52" s="42">
        <f t="shared" si="1"/>
        <v>0</v>
      </c>
      <c r="S52" s="42">
        <f t="shared" si="2"/>
        <v>0</v>
      </c>
      <c r="T52" s="42"/>
      <c r="U52" s="42"/>
      <c r="V52" s="40"/>
      <c r="W52" s="40"/>
      <c r="X52" s="42">
        <f t="shared" si="3"/>
        <v>0</v>
      </c>
      <c r="Y52" s="42">
        <f t="shared" si="4"/>
        <v>0</v>
      </c>
      <c r="Z52" s="42"/>
      <c r="AA52" s="42"/>
      <c r="AB52" s="40"/>
      <c r="AC52" s="40"/>
      <c r="AD52" s="42">
        <f t="shared" si="5"/>
        <v>0</v>
      </c>
      <c r="AE52" s="42">
        <f t="shared" si="6"/>
        <v>0</v>
      </c>
      <c r="AF52" s="42">
        <f>'Свод '!AH52+'Свод '!AZ52+'Свод '!BB52+'Свод '!CF52+'Свод '!DF52+'Свод '!DJ52+'Свод '!DP52+'Свод '!FB52+'Свод '!FH52+'Свод '!HD52+'Свод '!HP52+'Свод '!HX52+Лист1!R52+Лист1!AD52+X52</f>
        <v>3424.45724</v>
      </c>
      <c r="AG52" s="42">
        <f>'Свод '!AI52+'Свод '!BA52+'Свод '!BC52+'Свод '!CG52+'Свод '!DG52+'Свод '!DK52+'Свод '!DQ52+'Свод '!FC52+'Свод '!FI52+'Свод '!HE52+'Свод '!HQ52+'Свод '!HY52+Лист1!S52+Лист1!AE52+Y52</f>
        <v>3424.45724</v>
      </c>
      <c r="AH52" s="42">
        <f>'Свод '!B52+'Свод '!D52+'Свод '!F52+'Свод '!H52</f>
        <v>2687</v>
      </c>
      <c r="AI52" s="42">
        <f>'Свод '!C52+'Свод '!E52+'Свод '!G52+'Свод '!I52</f>
        <v>2687</v>
      </c>
      <c r="AJ52" s="39">
        <f>'Свод '!AB52+'Свод '!AD52+'Свод '!AL52+'Свод '!AN52+'Свод '!AP52+'Свод '!BD52+'Свод '!BF52+'Свод '!BH52+'Свод '!BJ52+'Свод '!BL52+'Свод '!BN52+'Свод '!BP52+'Свод '!BR52+'Свод '!BT52+'Свод '!BV52+'Свод '!BX52+'Свод '!BZ52+'Свод '!CH52+'Свод '!CJ52+'Свод '!CL52+'Свод '!CN52+'Свод '!CP52+'Свод '!CR52+'Свод '!CT52+'Свод '!CV52+'Свод '!CX52+'Свод '!CZ52+'Свод '!DB52+'Свод '!DH52+'Свод '!DN52+'Свод '!DR52+'Свод '!DT52+'Свод '!DV52+'Свод '!DX52+'Свод '!DZ52+'Свод '!EB52+'Свод '!ED52+'Свод '!EF52+'Свод '!EH52+'Свод '!EJ52+'Свод '!EL52+'Свод '!FJ52+'Свод '!FL52+'Свод '!FN52+'Свод '!FP52+'Свод '!FR52+'Свод '!FT52+'Свод '!FV52+'Свод '!FX52+'Свод '!FZ52+'Свод '!GB52+'Свод '!GD52+'Свод '!GF52+'Свод '!GH52+'Свод '!HF52+'Свод '!HH52+'Свод '!HJ52+'Свод '!HL52+'Свод '!HN52+'Свод '!HR52+Лист1!B52+Лист1!D52+Лист1!F52+Лист1!H52+Лист1!J52+Лист1!L52+Лист1!N52+Лист1!P52+'Свод '!DL52</f>
        <v>570</v>
      </c>
      <c r="AK52" s="39">
        <f>'Свод '!AC52+'Свод '!AE52+'Свод '!AM52+'Свод '!AO52+'Свод '!AQ52+'Свод '!BE52+'Свод '!BG52+'Свод '!BI52+'Свод '!BK52+'Свод '!BM52+'Свод '!BO52+'Свод '!BQ52+'Свод '!BS52+'Свод '!BU52+'Свод '!BW52+'Свод '!BY52+'Свод '!CA52+'Свод '!CI52+'Свод '!CK52+'Свод '!CM52+'Свод '!CO52+'Свод '!CQ52+'Свод '!CS52+'Свод '!CU52+'Свод '!CW52+'Свод '!CY52+'Свод '!DA52+'Свод '!DC52+'Свод '!DI52+'Свод '!DO52+'Свод '!DS52+'Свод '!DU52+'Свод '!DW52+'Свод '!DY52+'Свод '!EA52+'Свод '!EC52+'Свод '!EE52+'Свод '!EG52+'Свод '!EI52+'Свод '!EK52+'Свод '!EM52+'Свод '!FK52+'Свод '!FM52+'Свод '!FO52+'Свод '!FQ52+'Свод '!FS52+'Свод '!FU52+'Свод '!FW52+'Свод '!FY52+'Свод '!GA52+'Свод '!GC52+'Свод '!GE52+'Свод '!GG52+'Свод '!GI52+'Свод '!HG52+'Свод '!HI52+'Свод '!HK52+'Свод '!HM52+'Свод '!HO52+'Свод '!HS52+Лист1!C52+Лист1!E52+Лист1!G52+Лист1!I52+Лист1!K52+Лист1!M52+Лист1!O52+Лист1!Q52+'Свод '!DM52</f>
        <v>570</v>
      </c>
      <c r="AL52" s="144">
        <f>'Свод '!AF52+'Свод '!AJ52+'Свод '!BB52+'Свод '!CB52+'Свод '!CD52+'Свод '!EN52+'Свод '!FD52+'Свод '!FF52+'Свод '!GJ52+'Свод '!GL52+'Свод '!GN52+'Свод '!GP52+'Свод '!GR52+'Свод '!GT52+'Свод '!GV52+'Свод '!GX52+'Свод '!HT52+'Свод '!HV52</f>
        <v>147</v>
      </c>
      <c r="AM52" s="42">
        <f>'Свод '!AG52+'Свод '!AK52+'Свод '!BC52+'Свод '!CC52+'Свод '!CE52+'Свод '!EO52+'Свод '!FE52+'Свод '!FG52+'Свод '!GK52+'Свод '!GM52+'Свод '!GO52+'Свод '!GQ52+'Свод '!GS52+'Свод '!GU52+'Свод '!GW52+'Свод '!GY52+'Свод '!HU52+'Свод '!HW52</f>
        <v>147</v>
      </c>
      <c r="AN52" s="42">
        <f>'Свод '!J52+'Свод '!L52+'Свод '!N52+'Свод '!P52+'Свод '!R52+'Свод '!T52+'Свод '!V52+'Свод '!X52+'Свод '!Z52+'Свод '!AR52+'Свод '!AT52+'Свод '!AV52+'Свод '!AX52+'Свод '!DD52+'Свод '!EP52+'Свод '!ER52+'Свод '!ET52+'Свод '!EV52+'Свод '!EX52+'Свод '!EZ52+'Свод '!GZ52+'Свод '!HB52+T52+V52+Z52+AB52</f>
        <v>20.457240000000002</v>
      </c>
      <c r="AO52" s="42">
        <f>'Свод '!K52+'Свод '!M52+'Свод '!O52+'Свод '!Q52+'Свод '!S52+'Свод '!U52+'Свод '!W52+'Свод '!Y52+'Свод '!AA52+'Свод '!AS52+'Свод '!AU52+'Свод '!AW52+'Свод '!AY52+'Свод '!DE52+'Свод '!EQ52+'Свод '!ES52+'Свод '!EU52+'Свод '!EW52+'Свод '!EY52+'Свод '!FA52+'Свод '!HA52+'Свод '!HC52+U52+W52+AA52+AC52</f>
        <v>20.45724</v>
      </c>
    </row>
    <row r="53" spans="1:41" ht="12.75">
      <c r="A53" s="111" t="s">
        <v>137</v>
      </c>
      <c r="B53" s="104"/>
      <c r="C53" s="42"/>
      <c r="D53" s="40"/>
      <c r="E53" s="40"/>
      <c r="F53" s="43"/>
      <c r="G53" s="46"/>
      <c r="H53" s="40"/>
      <c r="I53" s="40"/>
      <c r="J53" s="112"/>
      <c r="K53" s="42"/>
      <c r="L53" s="40"/>
      <c r="M53" s="40"/>
      <c r="N53" s="40"/>
      <c r="O53" s="40"/>
      <c r="P53" s="40"/>
      <c r="Q53" s="40"/>
      <c r="R53" s="42">
        <f t="shared" si="1"/>
        <v>0</v>
      </c>
      <c r="S53" s="42">
        <f t="shared" si="2"/>
        <v>0</v>
      </c>
      <c r="T53" s="42"/>
      <c r="U53" s="42"/>
      <c r="V53" s="40"/>
      <c r="W53" s="40"/>
      <c r="X53" s="42">
        <f t="shared" si="3"/>
        <v>0</v>
      </c>
      <c r="Y53" s="42">
        <f t="shared" si="4"/>
        <v>0</v>
      </c>
      <c r="Z53" s="42"/>
      <c r="AA53" s="42"/>
      <c r="AB53" s="40"/>
      <c r="AC53" s="40"/>
      <c r="AD53" s="42">
        <f t="shared" si="5"/>
        <v>0</v>
      </c>
      <c r="AE53" s="42">
        <f t="shared" si="6"/>
        <v>0</v>
      </c>
      <c r="AF53" s="42">
        <f>'Свод '!AH53+'Свод '!AZ53+'Свод '!BB53+'Свод '!CF53+'Свод '!DF53+'Свод '!DJ53+'Свод '!DP53+'Свод '!FB53+'Свод '!FH53+'Свод '!HD53+'Свод '!HP53+'Свод '!HX53+Лист1!R53+Лист1!AD53+X53</f>
        <v>6829.56321</v>
      </c>
      <c r="AG53" s="42">
        <f>'Свод '!AI53+'Свод '!BA53+'Свод '!BC53+'Свод '!CG53+'Свод '!DG53+'Свод '!DK53+'Свод '!DQ53+'Свод '!FC53+'Свод '!FI53+'Свод '!HE53+'Свод '!HQ53+'Свод '!HY53+Лист1!S53+Лист1!AE53+Y53</f>
        <v>6721.89115</v>
      </c>
      <c r="AH53" s="42">
        <f>'Свод '!B53+'Свод '!D53+'Свод '!F53+'Свод '!H53</f>
        <v>2778</v>
      </c>
      <c r="AI53" s="42">
        <f>'Свод '!C53+'Свод '!E53+'Свод '!G53+'Свод '!I53</f>
        <v>2778</v>
      </c>
      <c r="AJ53" s="39">
        <f>'Свод '!AB53+'Свод '!AD53+'Свод '!AL53+'Свод '!AN53+'Свод '!AP53+'Свод '!BD53+'Свод '!BF53+'Свод '!BH53+'Свод '!BJ53+'Свод '!BL53+'Свод '!BN53+'Свод '!BP53+'Свод '!BR53+'Свод '!BT53+'Свод '!BV53+'Свод '!BX53+'Свод '!BZ53+'Свод '!CH53+'Свод '!CJ53+'Свод '!CL53+'Свод '!CN53+'Свод '!CP53+'Свод '!CR53+'Свод '!CT53+'Свод '!CV53+'Свод '!CX53+'Свод '!CZ53+'Свод '!DB53+'Свод '!DH53+'Свод '!DN53+'Свод '!DR53+'Свод '!DT53+'Свод '!DV53+'Свод '!DX53+'Свод '!DZ53+'Свод '!EB53+'Свод '!ED53+'Свод '!EF53+'Свод '!EH53+'Свод '!EJ53+'Свод '!EL53+'Свод '!FJ53+'Свод '!FL53+'Свод '!FN53+'Свод '!FP53+'Свод '!FR53+'Свод '!FT53+'Свод '!FV53+'Свод '!FX53+'Свод '!FZ53+'Свод '!GB53+'Свод '!GD53+'Свод '!GF53+'Свод '!GH53+'Свод '!HF53+'Свод '!HH53+'Свод '!HJ53+'Свод '!HL53+'Свод '!HN53+'Свод '!HR53+Лист1!B53+Лист1!D53+Лист1!F53+Лист1!H53+Лист1!J53+Лист1!L53+Лист1!N53+Лист1!P53+'Свод '!DL53</f>
        <v>3084</v>
      </c>
      <c r="AK53" s="39">
        <f>'Свод '!AC53+'Свод '!AE53+'Свод '!AM53+'Свод '!AO53+'Свод '!AQ53+'Свод '!BE53+'Свод '!BG53+'Свод '!BI53+'Свод '!BK53+'Свод '!BM53+'Свод '!BO53+'Свод '!BQ53+'Свод '!BS53+'Свод '!BU53+'Свод '!BW53+'Свод '!BY53+'Свод '!CA53+'Свод '!CI53+'Свод '!CK53+'Свод '!CM53+'Свод '!CO53+'Свод '!CQ53+'Свод '!CS53+'Свод '!CU53+'Свод '!CW53+'Свод '!CY53+'Свод '!DA53+'Свод '!DC53+'Свод '!DI53+'Свод '!DO53+'Свод '!DS53+'Свод '!DU53+'Свод '!DW53+'Свод '!DY53+'Свод '!EA53+'Свод '!EC53+'Свод '!EE53+'Свод '!EG53+'Свод '!EI53+'Свод '!EK53+'Свод '!EM53+'Свод '!FK53+'Свод '!FM53+'Свод '!FO53+'Свод '!FQ53+'Свод '!FS53+'Свод '!FU53+'Свод '!FW53+'Свод '!FY53+'Свод '!GA53+'Свод '!GC53+'Свод '!GE53+'Свод '!GG53+'Свод '!GI53+'Свод '!HG53+'Свод '!HI53+'Свод '!HK53+'Свод '!HM53+'Свод '!HO53+'Свод '!HS53+Лист1!C53+Лист1!E53+Лист1!G53+Лист1!I53+Лист1!K53+Лист1!M53+Лист1!O53+Лист1!Q53+'Свод '!DM53</f>
        <v>2976.32794</v>
      </c>
      <c r="AL53" s="144">
        <f>'Свод '!AF53+'Свод '!AJ53+'Свод '!BB53+'Свод '!CB53+'Свод '!CD53+'Свод '!EN53+'Свод '!FD53+'Свод '!FF53+'Свод '!GJ53+'Свод '!GL53+'Свод '!GN53+'Свод '!GP53+'Свод '!GR53+'Свод '!GT53+'Свод '!GV53+'Свод '!GX53+'Свод '!HT53+'Свод '!HV53</f>
        <v>147</v>
      </c>
      <c r="AM53" s="42">
        <f>'Свод '!AG53+'Свод '!AK53+'Свод '!BC53+'Свод '!CC53+'Свод '!CE53+'Свод '!EO53+'Свод '!FE53+'Свод '!FG53+'Свод '!GK53+'Свод '!GM53+'Свод '!GO53+'Свод '!GQ53+'Свод '!GS53+'Свод '!GU53+'Свод '!GW53+'Свод '!GY53+'Свод '!HU53+'Свод '!HW53</f>
        <v>147</v>
      </c>
      <c r="AN53" s="42">
        <f>'Свод '!J53+'Свод '!L53+'Свод '!N53+'Свод '!P53+'Свод '!R53+'Свод '!T53+'Свод '!V53+'Свод '!X53+'Свод '!Z53+'Свод '!AR53+'Свод '!AT53+'Свод '!AV53+'Свод '!AX53+'Свод '!DD53+'Свод '!EP53+'Свод '!ER53+'Свод '!ET53+'Свод '!EV53+'Свод '!EX53+'Свод '!EZ53+'Свод '!GZ53+'Свод '!HB53+T53+V53+Z53+AB53</f>
        <v>820.5632099999999</v>
      </c>
      <c r="AO53" s="42">
        <f>'Свод '!K53+'Свод '!M53+'Свод '!O53+'Свод '!Q53+'Свод '!S53+'Свод '!U53+'Свод '!W53+'Свод '!Y53+'Свод '!AA53+'Свод '!AS53+'Свод '!AU53+'Свод '!AW53+'Свод '!AY53+'Свод '!DE53+'Свод '!EQ53+'Свод '!ES53+'Свод '!EU53+'Свод '!EW53+'Свод '!EY53+'Свод '!FA53+'Свод '!HA53+'Свод '!HC53+U53+W53+AA53+AC53</f>
        <v>820.56321</v>
      </c>
    </row>
    <row r="54" spans="1:41" ht="12.75" customHeight="1">
      <c r="A54" s="111" t="s">
        <v>136</v>
      </c>
      <c r="B54" s="104"/>
      <c r="C54" s="42"/>
      <c r="D54" s="40"/>
      <c r="E54" s="40"/>
      <c r="F54" s="43"/>
      <c r="G54" s="46"/>
      <c r="H54" s="40"/>
      <c r="I54" s="40"/>
      <c r="J54" s="112"/>
      <c r="K54" s="42"/>
      <c r="L54" s="40"/>
      <c r="M54" s="40"/>
      <c r="N54" s="40"/>
      <c r="O54" s="40"/>
      <c r="P54" s="40"/>
      <c r="Q54" s="40"/>
      <c r="R54" s="42">
        <f t="shared" si="1"/>
        <v>0</v>
      </c>
      <c r="S54" s="42">
        <f t="shared" si="2"/>
        <v>0</v>
      </c>
      <c r="T54" s="42"/>
      <c r="U54" s="42"/>
      <c r="V54" s="40"/>
      <c r="W54" s="40"/>
      <c r="X54" s="42">
        <f t="shared" si="3"/>
        <v>0</v>
      </c>
      <c r="Y54" s="42">
        <f t="shared" si="4"/>
        <v>0</v>
      </c>
      <c r="Z54" s="42"/>
      <c r="AA54" s="42"/>
      <c r="AB54" s="40"/>
      <c r="AC54" s="40"/>
      <c r="AD54" s="42">
        <f t="shared" si="5"/>
        <v>0</v>
      </c>
      <c r="AE54" s="42">
        <f t="shared" si="6"/>
        <v>0</v>
      </c>
      <c r="AF54" s="42">
        <f>'Свод '!AH54+'Свод '!AZ54+'Свод '!BB54+'Свод '!CF54+'Свод '!DF54+'Свод '!DJ54+'Свод '!DP54+'Свод '!FB54+'Свод '!FH54+'Свод '!HD54+'Свод '!HP54+'Свод '!HX54+Лист1!R54+Лист1!AD54+X54</f>
        <v>12359.875450000001</v>
      </c>
      <c r="AG54" s="42">
        <f>'Свод '!AI54+'Свод '!BA54+'Свод '!BC54+'Свод '!CG54+'Свод '!DG54+'Свод '!DK54+'Свод '!DQ54+'Свод '!FC54+'Свод '!FI54+'Свод '!HE54+'Свод '!HQ54+'Свод '!HY54+Лист1!S54+Лист1!AE54+Y54</f>
        <v>12359.446170000001</v>
      </c>
      <c r="AH54" s="42">
        <f>'Свод '!B54+'Свод '!D54+'Свод '!F54+'Свод '!H54</f>
        <v>9479.000000000002</v>
      </c>
      <c r="AI54" s="42">
        <f>'Свод '!C54+'Свод '!E54+'Свод '!G54+'Свод '!I54</f>
        <v>9479.000000000002</v>
      </c>
      <c r="AJ54" s="39">
        <f>'Свод '!AB54+'Свод '!AD54+'Свод '!AL54+'Свод '!AN54+'Свод '!AP54+'Свод '!BD54+'Свод '!BF54+'Свод '!BH54+'Свод '!BJ54+'Свод '!BL54+'Свод '!BN54+'Свод '!BP54+'Свод '!BR54+'Свод '!BT54+'Свод '!BV54+'Свод '!BX54+'Свод '!BZ54+'Свод '!CH54+'Свод '!CJ54+'Свод '!CL54+'Свод '!CN54+'Свод '!CP54+'Свод '!CR54+'Свод '!CT54+'Свод '!CV54+'Свод '!CX54+'Свод '!CZ54+'Свод '!DB54+'Свод '!DH54+'Свод '!DN54+'Свод '!DR54+'Свод '!DT54+'Свод '!DV54+'Свод '!DX54+'Свод '!DZ54+'Свод '!EB54+'Свод '!ED54+'Свод '!EF54+'Свод '!EH54+'Свод '!EJ54+'Свод '!EL54+'Свод '!FJ54+'Свод '!FL54+'Свод '!FN54+'Свод '!FP54+'Свод '!FR54+'Свод '!FT54+'Свод '!FV54+'Свод '!FX54+'Свод '!FZ54+'Свод '!GB54+'Свод '!GD54+'Свод '!GF54+'Свод '!GH54+'Свод '!HF54+'Свод '!HH54+'Свод '!HJ54+'Свод '!HL54+'Свод '!HN54+'Свод '!HR54+Лист1!B54+Лист1!D54+Лист1!F54+Лист1!H54+Лист1!J54+Лист1!L54+Лист1!N54+Лист1!P54+'Свод '!DL54</f>
        <v>2521</v>
      </c>
      <c r="AK54" s="39">
        <f>'Свод '!AC54+'Свод '!AE54+'Свод '!AM54+'Свод '!AO54+'Свод '!AQ54+'Свод '!BE54+'Свод '!BG54+'Свод '!BI54+'Свод '!BK54+'Свод '!BM54+'Свод '!BO54+'Свод '!BQ54+'Свод '!BS54+'Свод '!BU54+'Свод '!BW54+'Свод '!BY54+'Свод '!CA54+'Свод '!CI54+'Свод '!CK54+'Свод '!CM54+'Свод '!CO54+'Свод '!CQ54+'Свод '!CS54+'Свод '!CU54+'Свод '!CW54+'Свод '!CY54+'Свод '!DA54+'Свод '!DC54+'Свод '!DI54+'Свод '!DO54+'Свод '!DS54+'Свод '!DU54+'Свод '!DW54+'Свод '!DY54+'Свод '!EA54+'Свод '!EC54+'Свод '!EE54+'Свод '!EG54+'Свод '!EI54+'Свод '!EK54+'Свод '!EM54+'Свод '!FK54+'Свод '!FM54+'Свод '!FO54+'Свод '!FQ54+'Свод '!FS54+'Свод '!FU54+'Свод '!FW54+'Свод '!FY54+'Свод '!GA54+'Свод '!GC54+'Свод '!GE54+'Свод '!GG54+'Свод '!GI54+'Свод '!HG54+'Свод '!HI54+'Свод '!HK54+'Свод '!HM54+'Свод '!HO54+'Свод '!HS54+Лист1!C54+Лист1!E54+Лист1!G54+Лист1!I54+Лист1!K54+Лист1!M54+Лист1!O54+Лист1!Q54+'Свод '!DM54</f>
        <v>2521</v>
      </c>
      <c r="AL54" s="144">
        <f>'Свод '!AF54+'Свод '!AJ54+'Свод '!BB54+'Свод '!CB54+'Свод '!CD54+'Свод '!EN54+'Свод '!FD54+'Свод '!FF54+'Свод '!GJ54+'Свод '!GL54+'Свод '!GN54+'Свод '!GP54+'Свод '!GR54+'Свод '!GT54+'Свод '!GV54+'Свод '!GX54+'Свод '!HT54+'Свод '!HV54</f>
        <v>147</v>
      </c>
      <c r="AM54" s="42">
        <f>'Свод '!AG54+'Свод '!AK54+'Свод '!BC54+'Свод '!CC54+'Свод '!CE54+'Свод '!EO54+'Свод '!FE54+'Свод '!FG54+'Свод '!GK54+'Свод '!GM54+'Свод '!GO54+'Свод '!GQ54+'Свод '!GS54+'Свод '!GU54+'Свод '!GW54+'Свод '!GY54+'Свод '!HU54+'Свод '!HW54</f>
        <v>147</v>
      </c>
      <c r="AN54" s="42">
        <f>'Свод '!J54+'Свод '!L54+'Свод '!N54+'Свод '!P54+'Свод '!R54+'Свод '!T54+'Свод '!V54+'Свод '!X54+'Свод '!Z54+'Свод '!AR54+'Свод '!AT54+'Свод '!AV54+'Свод '!AX54+'Свод '!DD54+'Свод '!EP54+'Свод '!ER54+'Свод '!ET54+'Свод '!EV54+'Свод '!EX54+'Свод '!EZ54+'Свод '!GZ54+'Свод '!HB54+T54+V54+Z54+AB54</f>
        <v>212.87545</v>
      </c>
      <c r="AO54" s="42">
        <f>'Свод '!K54+'Свод '!M54+'Свод '!O54+'Свод '!Q54+'Свод '!S54+'Свод '!U54+'Свод '!W54+'Свод '!Y54+'Свод '!AA54+'Свод '!AS54+'Свод '!AU54+'Свод '!AW54+'Свод '!AY54+'Свод '!DE54+'Свод '!EQ54+'Свод '!ES54+'Свод '!EU54+'Свод '!EW54+'Свод '!EY54+'Свод '!FA54+'Свод '!HA54+'Свод '!HC54+U54+W54+AA54+AC54</f>
        <v>212.44617</v>
      </c>
    </row>
    <row r="55" spans="1:41" ht="12.75">
      <c r="A55" s="111" t="s">
        <v>234</v>
      </c>
      <c r="B55" s="104"/>
      <c r="C55" s="42"/>
      <c r="D55" s="40"/>
      <c r="E55" s="40"/>
      <c r="F55" s="43"/>
      <c r="G55" s="46"/>
      <c r="H55" s="40"/>
      <c r="I55" s="40"/>
      <c r="J55" s="112"/>
      <c r="K55" s="42"/>
      <c r="L55" s="40"/>
      <c r="M55" s="40"/>
      <c r="N55" s="40"/>
      <c r="O55" s="40"/>
      <c r="P55" s="40"/>
      <c r="Q55" s="40"/>
      <c r="R55" s="42">
        <f t="shared" si="1"/>
        <v>0</v>
      </c>
      <c r="S55" s="42">
        <f t="shared" si="2"/>
        <v>0</v>
      </c>
      <c r="T55" s="42"/>
      <c r="U55" s="42"/>
      <c r="V55" s="40"/>
      <c r="W55" s="40"/>
      <c r="X55" s="42">
        <f t="shared" si="3"/>
        <v>0</v>
      </c>
      <c r="Y55" s="42">
        <f t="shared" si="4"/>
        <v>0</v>
      </c>
      <c r="Z55" s="42"/>
      <c r="AA55" s="42"/>
      <c r="AB55" s="40"/>
      <c r="AC55" s="40"/>
      <c r="AD55" s="42">
        <f t="shared" si="5"/>
        <v>0</v>
      </c>
      <c r="AE55" s="42">
        <f t="shared" si="6"/>
        <v>0</v>
      </c>
      <c r="AF55" s="42">
        <f>'Свод '!AH55+'Свод '!AZ55+'Свод '!BB55+'Свод '!CF55+'Свод '!DF55+'Свод '!DJ55+'Свод '!DP55+'Свод '!FB55+'Свод '!FH55+'Свод '!HD55+'Свод '!HP55+'Свод '!HX55+Лист1!R55+Лист1!AD55+X55</f>
        <v>4401.08339</v>
      </c>
      <c r="AG55" s="42">
        <f>'Свод '!AI55+'Свод '!BA55+'Свод '!BC55+'Свод '!CG55+'Свод '!DG55+'Свод '!DK55+'Свод '!DQ55+'Свод '!FC55+'Свод '!FI55+'Свод '!HE55+'Свод '!HQ55+'Свод '!HY55+Лист1!S55+Лист1!AE55+Y55</f>
        <v>4345.9145100000005</v>
      </c>
      <c r="AH55" s="42">
        <f>'Свод '!B55+'Свод '!D55+'Свод '!F55+'Свод '!H55</f>
        <v>2953</v>
      </c>
      <c r="AI55" s="42">
        <f>'Свод '!C55+'Свод '!E55+'Свод '!G55+'Свод '!I55</f>
        <v>2953</v>
      </c>
      <c r="AJ55" s="39">
        <f>'Свод '!AB55+'Свод '!AD55+'Свод '!AL55+'Свод '!AN55+'Свод '!AP55+'Свод '!BD55+'Свод '!BF55+'Свод '!BH55+'Свод '!BJ55+'Свод '!BL55+'Свод '!BN55+'Свод '!BP55+'Свод '!BR55+'Свод '!BT55+'Свод '!BV55+'Свод '!BX55+'Свод '!BZ55+'Свод '!CH55+'Свод '!CJ55+'Свод '!CL55+'Свод '!CN55+'Свод '!CP55+'Свод '!CR55+'Свод '!CT55+'Свод '!CV55+'Свод '!CX55+'Свод '!CZ55+'Свод '!DB55+'Свод '!DH55+'Свод '!DN55+'Свод '!DR55+'Свод '!DT55+'Свод '!DV55+'Свод '!DX55+'Свод '!DZ55+'Свод '!EB55+'Свод '!ED55+'Свод '!EF55+'Свод '!EH55+'Свод '!EJ55+'Свод '!EL55+'Свод '!FJ55+'Свод '!FL55+'Свод '!FN55+'Свод '!FP55+'Свод '!FR55+'Свод '!FT55+'Свод '!FV55+'Свод '!FX55+'Свод '!FZ55+'Свод '!GB55+'Свод '!GD55+'Свод '!GF55+'Свод '!GH55+'Свод '!HF55+'Свод '!HH55+'Свод '!HJ55+'Свод '!HL55+'Свод '!HN55+'Свод '!HR55+Лист1!B55+Лист1!D55+Лист1!F55+Лист1!H55+Лист1!J55+Лист1!L55+Лист1!N55+Лист1!P55+'Свод '!DL55</f>
        <v>191</v>
      </c>
      <c r="AK55" s="39">
        <f>'Свод '!AC55+'Свод '!AE55+'Свод '!AM55+'Свод '!AO55+'Свод '!AQ55+'Свод '!BE55+'Свод '!BG55+'Свод '!BI55+'Свод '!BK55+'Свод '!BM55+'Свод '!BO55+'Свод '!BQ55+'Свод '!BS55+'Свод '!BU55+'Свод '!BW55+'Свод '!BY55+'Свод '!CA55+'Свод '!CI55+'Свод '!CK55+'Свод '!CM55+'Свод '!CO55+'Свод '!CQ55+'Свод '!CS55+'Свод '!CU55+'Свод '!CW55+'Свод '!CY55+'Свод '!DA55+'Свод '!DC55+'Свод '!DI55+'Свод '!DO55+'Свод '!DS55+'Свод '!DU55+'Свод '!DW55+'Свод '!DY55+'Свод '!EA55+'Свод '!EC55+'Свод '!EE55+'Свод '!EG55+'Свод '!EI55+'Свод '!EK55+'Свод '!EM55+'Свод '!FK55+'Свод '!FM55+'Свод '!FO55+'Свод '!FQ55+'Свод '!FS55+'Свод '!FU55+'Свод '!FW55+'Свод '!FY55+'Свод '!GA55+'Свод '!GC55+'Свод '!GE55+'Свод '!GG55+'Свод '!GI55+'Свод '!HG55+'Свод '!HI55+'Свод '!HK55+'Свод '!HM55+'Свод '!HO55+'Свод '!HS55+Лист1!C55+Лист1!E55+Лист1!G55+Лист1!I55+Лист1!K55+Лист1!M55+Лист1!O55+Лист1!Q55+'Свод '!DM55</f>
        <v>144.6</v>
      </c>
      <c r="AL55" s="144">
        <f>'Свод '!AF55+'Свод '!AJ55+'Свод '!BB55+'Свод '!CB55+'Свод '!CD55+'Свод '!EN55+'Свод '!FD55+'Свод '!FF55+'Свод '!GJ55+'Свод '!GL55+'Свод '!GN55+'Свод '!GP55+'Свод '!GR55+'Свод '!GT55+'Свод '!GV55+'Свод '!GX55+'Свод '!HT55+'Свод '!HV55</f>
        <v>147</v>
      </c>
      <c r="AM55" s="42">
        <f>'Свод '!AG55+'Свод '!AK55+'Свод '!BC55+'Свод '!CC55+'Свод '!CE55+'Свод '!EO55+'Свод '!FE55+'Свод '!FG55+'Свод '!GK55+'Свод '!GM55+'Свод '!GO55+'Свод '!GQ55+'Свод '!GS55+'Свод '!GU55+'Свод '!GW55+'Свод '!GY55+'Свод '!HU55+'Свод '!HW55</f>
        <v>147</v>
      </c>
      <c r="AN55" s="42">
        <f>'Свод '!J55+'Свод '!L55+'Свод '!N55+'Свод '!P55+'Свод '!R55+'Свод '!T55+'Свод '!V55+'Свод '!X55+'Свод '!Z55+'Свод '!AR55+'Свод '!AT55+'Свод '!AV55+'Свод '!AX55+'Свод '!DD55+'Свод '!EP55+'Свод '!ER55+'Свод '!ET55+'Свод '!EV55+'Свод '!EX55+'Свод '!EZ55+'Свод '!GZ55+'Свод '!HB55+T55+V55+Z55+AB55</f>
        <v>1110.08339</v>
      </c>
      <c r="AO55" s="42">
        <f>'Свод '!K55+'Свод '!M55+'Свод '!O55+'Свод '!Q55+'Свод '!S55+'Свод '!U55+'Свод '!W55+'Свод '!Y55+'Свод '!AA55+'Свод '!AS55+'Свод '!AU55+'Свод '!AW55+'Свод '!AY55+'Свод '!DE55+'Свод '!EQ55+'Свод '!ES55+'Свод '!EU55+'Свод '!EW55+'Свод '!EY55+'Свод '!FA55+'Свод '!HA55+'Свод '!HC55+U55+W55+AA55+AC55</f>
        <v>1101.3145100000002</v>
      </c>
    </row>
    <row r="56" spans="1:41" ht="12.75" customHeight="1">
      <c r="A56" s="111" t="s">
        <v>235</v>
      </c>
      <c r="B56" s="104"/>
      <c r="C56" s="42"/>
      <c r="D56" s="40"/>
      <c r="E56" s="40"/>
      <c r="F56" s="43"/>
      <c r="G56" s="46"/>
      <c r="H56" s="40"/>
      <c r="I56" s="40"/>
      <c r="J56" s="112"/>
      <c r="K56" s="42"/>
      <c r="L56" s="40"/>
      <c r="M56" s="40"/>
      <c r="N56" s="40"/>
      <c r="O56" s="40"/>
      <c r="P56" s="40"/>
      <c r="Q56" s="40"/>
      <c r="R56" s="42">
        <f t="shared" si="1"/>
        <v>0</v>
      </c>
      <c r="S56" s="42">
        <f t="shared" si="2"/>
        <v>0</v>
      </c>
      <c r="T56" s="42"/>
      <c r="U56" s="42"/>
      <c r="V56" s="40"/>
      <c r="W56" s="40"/>
      <c r="X56" s="42">
        <f t="shared" si="3"/>
        <v>0</v>
      </c>
      <c r="Y56" s="42">
        <f t="shared" si="4"/>
        <v>0</v>
      </c>
      <c r="Z56" s="42"/>
      <c r="AA56" s="42"/>
      <c r="AB56" s="40"/>
      <c r="AC56" s="40"/>
      <c r="AD56" s="42">
        <f t="shared" si="5"/>
        <v>0</v>
      </c>
      <c r="AE56" s="42">
        <f t="shared" si="6"/>
        <v>0</v>
      </c>
      <c r="AF56" s="42">
        <f>'Свод '!AH56+'Свод '!AZ56+'Свод '!BB56+'Свод '!CF56+'Свод '!DF56+'Свод '!DJ56+'Свод '!DP56+'Свод '!FB56+'Свод '!FH56+'Свод '!HD56+'Свод '!HP56+'Свод '!HX56+Лист1!R56+Лист1!AD56+X56</f>
        <v>4981</v>
      </c>
      <c r="AG56" s="42">
        <f>'Свод '!AI56+'Свод '!BA56+'Свод '!BC56+'Свод '!CG56+'Свод '!DG56+'Свод '!DK56+'Свод '!DQ56+'Свод '!FC56+'Свод '!FI56+'Свод '!HE56+'Свод '!HQ56+'Свод '!HY56+Лист1!S56+Лист1!AE56+Y56</f>
        <v>4980.999</v>
      </c>
      <c r="AH56" s="42">
        <f>'Свод '!B56+'Свод '!D56+'Свод '!F56+'Свод '!H56</f>
        <v>3661.0000000000005</v>
      </c>
      <c r="AI56" s="42">
        <f>'Свод '!C56+'Свод '!E56+'Свод '!G56+'Свод '!I56</f>
        <v>3661.0000000000005</v>
      </c>
      <c r="AJ56" s="39">
        <f>'Свод '!AB56+'Свод '!AD56+'Свод '!AL56+'Свод '!AN56+'Свод '!AP56+'Свод '!BD56+'Свод '!BF56+'Свод '!BH56+'Свод '!BJ56+'Свод '!BL56+'Свод '!BN56+'Свод '!BP56+'Свод '!BR56+'Свод '!BT56+'Свод '!BV56+'Свод '!BX56+'Свод '!BZ56+'Свод '!CH56+'Свод '!CJ56+'Свод '!CL56+'Свод '!CN56+'Свод '!CP56+'Свод '!CR56+'Свод '!CT56+'Свод '!CV56+'Свод '!CX56+'Свод '!CZ56+'Свод '!DB56+'Свод '!DH56+'Свод '!DN56+'Свод '!DR56+'Свод '!DT56+'Свод '!DV56+'Свод '!DX56+'Свод '!DZ56+'Свод '!EB56+'Свод '!ED56+'Свод '!EF56+'Свод '!EH56+'Свод '!EJ56+'Свод '!EL56+'Свод '!FJ56+'Свод '!FL56+'Свод '!FN56+'Свод '!FP56+'Свод '!FR56+'Свод '!FT56+'Свод '!FV56+'Свод '!FX56+'Свод '!FZ56+'Свод '!GB56+'Свод '!GD56+'Свод '!GF56+'Свод '!GH56+'Свод '!HF56+'Свод '!HH56+'Свод '!HJ56+'Свод '!HL56+'Свод '!HN56+'Свод '!HR56+Лист1!B56+Лист1!D56+Лист1!F56+Лист1!H56+Лист1!J56+Лист1!L56+Лист1!N56+Лист1!P56+'Свод '!DL56</f>
        <v>510</v>
      </c>
      <c r="AK56" s="39">
        <f>'Свод '!AC56+'Свод '!AE56+'Свод '!AM56+'Свод '!AO56+'Свод '!AQ56+'Свод '!BE56+'Свод '!BG56+'Свод '!BI56+'Свод '!BK56+'Свод '!BM56+'Свод '!BO56+'Свод '!BQ56+'Свод '!BS56+'Свод '!BU56+'Свод '!BW56+'Свод '!BY56+'Свод '!CA56+'Свод '!CI56+'Свод '!CK56+'Свод '!CM56+'Свод '!CO56+'Свод '!CQ56+'Свод '!CS56+'Свод '!CU56+'Свод '!CW56+'Свод '!CY56+'Свод '!DA56+'Свод '!DC56+'Свод '!DI56+'Свод '!DO56+'Свод '!DS56+'Свод '!DU56+'Свод '!DW56+'Свод '!DY56+'Свод '!EA56+'Свод '!EC56+'Свод '!EE56+'Свод '!EG56+'Свод '!EI56+'Свод '!EK56+'Свод '!EM56+'Свод '!FK56+'Свод '!FM56+'Свод '!FO56+'Свод '!FQ56+'Свод '!FS56+'Свод '!FU56+'Свод '!FW56+'Свод '!FY56+'Свод '!GA56+'Свод '!GC56+'Свод '!GE56+'Свод '!GG56+'Свод '!GI56+'Свод '!HG56+'Свод '!HI56+'Свод '!HK56+'Свод '!HM56+'Свод '!HO56+'Свод '!HS56+Лист1!C56+Лист1!E56+Лист1!G56+Лист1!I56+Лист1!K56+Лист1!M56+Лист1!O56+Лист1!Q56+'Свод '!DM56</f>
        <v>509.999</v>
      </c>
      <c r="AL56" s="144">
        <f>'Свод '!AF56+'Свод '!AJ56+'Свод '!BB56+'Свод '!CB56+'Свод '!CD56+'Свод '!EN56+'Свод '!FD56+'Свод '!FF56+'Свод '!GJ56+'Свод '!GL56+'Свод '!GN56+'Свод '!GP56+'Свод '!GR56+'Свод '!GT56+'Свод '!GV56+'Свод '!GX56+'Свод '!HT56+'Свод '!HV56</f>
        <v>73</v>
      </c>
      <c r="AM56" s="42">
        <f>'Свод '!AG56+'Свод '!AK56+'Свод '!BC56+'Свод '!CC56+'Свод '!CE56+'Свод '!EO56+'Свод '!FE56+'Свод '!FG56+'Свод '!GK56+'Свод '!GM56+'Свод '!GO56+'Свод '!GQ56+'Свод '!GS56+'Свод '!GU56+'Свод '!GW56+'Свод '!GY56+'Свод '!HU56+'Свод '!HW56</f>
        <v>73</v>
      </c>
      <c r="AN56" s="42">
        <f>'Свод '!J56+'Свод '!L56+'Свод '!N56+'Свод '!P56+'Свод '!R56+'Свод '!T56+'Свод '!V56+'Свод '!X56+'Свод '!Z56+'Свод '!AR56+'Свод '!AT56+'Свод '!AV56+'Свод '!AX56+'Свод '!DD56+'Свод '!EP56+'Свод '!ER56+'Свод '!ET56+'Свод '!EV56+'Свод '!EX56+'Свод '!EZ56+'Свод '!GZ56+'Свод '!HB56+T56+V56+Z56+AB56</f>
        <v>737</v>
      </c>
      <c r="AO56" s="42">
        <f>'Свод '!K56+'Свод '!M56+'Свод '!O56+'Свод '!Q56+'Свод '!S56+'Свод '!U56+'Свод '!W56+'Свод '!Y56+'Свод '!AA56+'Свод '!AS56+'Свод '!AU56+'Свод '!AW56+'Свод '!AY56+'Свод '!DE56+'Свод '!EQ56+'Свод '!ES56+'Свод '!EU56+'Свод '!EW56+'Свод '!EY56+'Свод '!FA56+'Свод '!HA56+'Свод '!HC56+U56+W56+AA56+AC56</f>
        <v>737</v>
      </c>
    </row>
    <row r="57" spans="1:41" ht="12.75">
      <c r="A57" s="111" t="s">
        <v>236</v>
      </c>
      <c r="B57" s="104"/>
      <c r="C57" s="42"/>
      <c r="D57" s="40"/>
      <c r="E57" s="40"/>
      <c r="F57" s="43"/>
      <c r="G57" s="46"/>
      <c r="H57" s="40"/>
      <c r="I57" s="40"/>
      <c r="J57" s="112"/>
      <c r="K57" s="42"/>
      <c r="L57" s="40"/>
      <c r="M57" s="40"/>
      <c r="N57" s="40"/>
      <c r="O57" s="40"/>
      <c r="P57" s="40"/>
      <c r="Q57" s="40"/>
      <c r="R57" s="42">
        <f t="shared" si="1"/>
        <v>0</v>
      </c>
      <c r="S57" s="42">
        <f t="shared" si="2"/>
        <v>0</v>
      </c>
      <c r="T57" s="42"/>
      <c r="U57" s="42"/>
      <c r="V57" s="40"/>
      <c r="W57" s="40"/>
      <c r="X57" s="42">
        <f t="shared" si="3"/>
        <v>0</v>
      </c>
      <c r="Y57" s="42">
        <f t="shared" si="4"/>
        <v>0</v>
      </c>
      <c r="Z57" s="42"/>
      <c r="AA57" s="42"/>
      <c r="AB57" s="40"/>
      <c r="AC57" s="40"/>
      <c r="AD57" s="42">
        <f t="shared" si="5"/>
        <v>0</v>
      </c>
      <c r="AE57" s="42">
        <f t="shared" si="6"/>
        <v>0</v>
      </c>
      <c r="AF57" s="42">
        <f>'Свод '!AH57+'Свод '!AZ57+'Свод '!BB57+'Свод '!CF57+'Свод '!DF57+'Свод '!DJ57+'Свод '!DP57+'Свод '!FB57+'Свод '!FH57+'Свод '!HD57+'Свод '!HP57+'Свод '!HX57+Лист1!R57+Лист1!AD57+X57</f>
        <v>9914.542</v>
      </c>
      <c r="AG57" s="42">
        <f>'Свод '!AI57+'Свод '!BA57+'Свод '!BC57+'Свод '!CG57+'Свод '!DG57+'Свод '!DK57+'Свод '!DQ57+'Свод '!FC57+'Свод '!FI57+'Свод '!HE57+'Свод '!HQ57+'Свод '!HY57+Лист1!S57+Лист1!AE57+Y57</f>
        <v>9901.572</v>
      </c>
      <c r="AH57" s="42">
        <f>'Свод '!B57+'Свод '!D57+'Свод '!F57+'Свод '!H57</f>
        <v>1994</v>
      </c>
      <c r="AI57" s="42">
        <f>'Свод '!C57+'Свод '!E57+'Свод '!G57+'Свод '!I57</f>
        <v>1994</v>
      </c>
      <c r="AJ57" s="39">
        <f>'Свод '!AB57+'Свод '!AD57+'Свод '!AL57+'Свод '!AN57+'Свод '!AP57+'Свод '!BD57+'Свод '!BF57+'Свод '!BH57+'Свод '!BJ57+'Свод '!BL57+'Свод '!BN57+'Свод '!BP57+'Свод '!BR57+'Свод '!BT57+'Свод '!BV57+'Свод '!BX57+'Свод '!BZ57+'Свод '!CH57+'Свод '!CJ57+'Свод '!CL57+'Свод '!CN57+'Свод '!CP57+'Свод '!CR57+'Свод '!CT57+'Свод '!CV57+'Свод '!CX57+'Свод '!CZ57+'Свод '!DB57+'Свод '!DH57+'Свод '!DN57+'Свод '!DR57+'Свод '!DT57+'Свод '!DV57+'Свод '!DX57+'Свод '!DZ57+'Свод '!EB57+'Свод '!ED57+'Свод '!EF57+'Свод '!EH57+'Свод '!EJ57+'Свод '!EL57+'Свод '!FJ57+'Свод '!FL57+'Свод '!FN57+'Свод '!FP57+'Свод '!FR57+'Свод '!FT57+'Свод '!FV57+'Свод '!FX57+'Свод '!FZ57+'Свод '!GB57+'Свод '!GD57+'Свод '!GF57+'Свод '!GH57+'Свод '!HF57+'Свод '!HH57+'Свод '!HJ57+'Свод '!HL57+'Свод '!HN57+'Свод '!HR57+Лист1!B57+Лист1!D57+Лист1!F57+Лист1!H57+Лист1!J57+Лист1!L57+Лист1!N57+Лист1!P57+'Свод '!DL57</f>
        <v>6190.242</v>
      </c>
      <c r="AK57" s="39">
        <f>'Свод '!AC57+'Свод '!AE57+'Свод '!AM57+'Свод '!AO57+'Свод '!AQ57+'Свод '!BE57+'Свод '!BG57+'Свод '!BI57+'Свод '!BK57+'Свод '!BM57+'Свод '!BO57+'Свод '!BQ57+'Свод '!BS57+'Свод '!BU57+'Свод '!BW57+'Свод '!BY57+'Свод '!CA57+'Свод '!CI57+'Свод '!CK57+'Свод '!CM57+'Свод '!CO57+'Свод '!CQ57+'Свод '!CS57+'Свод '!CU57+'Свод '!CW57+'Свод '!CY57+'Свод '!DA57+'Свод '!DC57+'Свод '!DI57+'Свод '!DO57+'Свод '!DS57+'Свод '!DU57+'Свод '!DW57+'Свод '!DY57+'Свод '!EA57+'Свод '!EC57+'Свод '!EE57+'Свод '!EG57+'Свод '!EI57+'Свод '!EK57+'Свод '!EM57+'Свод '!FK57+'Свод '!FM57+'Свод '!FO57+'Свод '!FQ57+'Свод '!FS57+'Свод '!FU57+'Свод '!FW57+'Свод '!FY57+'Свод '!GA57+'Свод '!GC57+'Свод '!GE57+'Свод '!GG57+'Свод '!GI57+'Свод '!HG57+'Свод '!HI57+'Свод '!HK57+'Свод '!HM57+'Свод '!HO57+'Свод '!HS57+Лист1!C57+Лист1!E57+Лист1!G57+Лист1!I57+Лист1!K57+Лист1!M57+Лист1!O57+Лист1!Q57+'Свод '!DM57</f>
        <v>6177.272</v>
      </c>
      <c r="AL57" s="144">
        <f>'Свод '!AF57+'Свод '!AJ57+'Свод '!BB57+'Свод '!CB57+'Свод '!CD57+'Свод '!EN57+'Свод '!FD57+'Свод '!FF57+'Свод '!GJ57+'Свод '!GL57+'Свод '!GN57+'Свод '!GP57+'Свод '!GR57+'Свод '!GT57+'Свод '!GV57+'Свод '!GX57+'Свод '!HT57+'Свод '!HV57</f>
        <v>147</v>
      </c>
      <c r="AM57" s="42">
        <f>'Свод '!AG57+'Свод '!AK57+'Свод '!BC57+'Свод '!CC57+'Свод '!CE57+'Свод '!EO57+'Свод '!FE57+'Свод '!FG57+'Свод '!GK57+'Свод '!GM57+'Свод '!GO57+'Свод '!GQ57+'Свод '!GS57+'Свод '!GU57+'Свод '!GW57+'Свод '!GY57+'Свод '!HU57+'Свод '!HW57</f>
        <v>147</v>
      </c>
      <c r="AN57" s="42">
        <f>'Свод '!J57+'Свод '!L57+'Свод '!N57+'Свод '!P57+'Свод '!R57+'Свод '!T57+'Свод '!V57+'Свод '!X57+'Свод '!Z57+'Свод '!AR57+'Свод '!AT57+'Свод '!AV57+'Свод '!AX57+'Свод '!DD57+'Свод '!EP57+'Свод '!ER57+'Свод '!ET57+'Свод '!EV57+'Свод '!EX57+'Свод '!EZ57+'Свод '!GZ57+'Свод '!HB57+T57+V57+Z57+AB57</f>
        <v>1583.3</v>
      </c>
      <c r="AO57" s="42">
        <f>'Свод '!K57+'Свод '!M57+'Свод '!O57+'Свод '!Q57+'Свод '!S57+'Свод '!U57+'Свод '!W57+'Свод '!Y57+'Свод '!AA57+'Свод '!AS57+'Свод '!AU57+'Свод '!AW57+'Свод '!AY57+'Свод '!DE57+'Свод '!EQ57+'Свод '!ES57+'Свод '!EU57+'Свод '!EW57+'Свод '!EY57+'Свод '!FA57+'Свод '!HA57+'Свод '!HC57+U57+W57+AA57+AC57</f>
        <v>1583.3</v>
      </c>
    </row>
    <row r="58" spans="1:41" ht="12.75" customHeight="1">
      <c r="A58" s="111" t="s">
        <v>237</v>
      </c>
      <c r="B58" s="104"/>
      <c r="C58" s="42"/>
      <c r="D58" s="40"/>
      <c r="E58" s="40"/>
      <c r="F58" s="43"/>
      <c r="G58" s="46"/>
      <c r="H58" s="40"/>
      <c r="I58" s="40"/>
      <c r="J58" s="112"/>
      <c r="K58" s="42"/>
      <c r="L58" s="40"/>
      <c r="M58" s="40"/>
      <c r="N58" s="40"/>
      <c r="O58" s="40"/>
      <c r="P58" s="40"/>
      <c r="Q58" s="40"/>
      <c r="R58" s="42">
        <f t="shared" si="1"/>
        <v>0</v>
      </c>
      <c r="S58" s="42">
        <f t="shared" si="2"/>
        <v>0</v>
      </c>
      <c r="T58" s="42"/>
      <c r="U58" s="42"/>
      <c r="V58" s="40"/>
      <c r="W58" s="40"/>
      <c r="X58" s="42">
        <f t="shared" si="3"/>
        <v>0</v>
      </c>
      <c r="Y58" s="42">
        <f t="shared" si="4"/>
        <v>0</v>
      </c>
      <c r="Z58" s="42"/>
      <c r="AA58" s="42"/>
      <c r="AB58" s="40"/>
      <c r="AC58" s="40"/>
      <c r="AD58" s="42">
        <f t="shared" si="5"/>
        <v>0</v>
      </c>
      <c r="AE58" s="42">
        <f t="shared" si="6"/>
        <v>0</v>
      </c>
      <c r="AF58" s="42">
        <f>'Свод '!AH58+'Свод '!AZ58+'Свод '!BB58+'Свод '!CF58+'Свод '!DF58+'Свод '!DJ58+'Свод '!DP58+'Свод '!FB58+'Свод '!FH58+'Свод '!HD58+'Свод '!HP58+'Свод '!HX58+Лист1!R58+Лист1!AD58+X58</f>
        <v>5596</v>
      </c>
      <c r="AG58" s="42">
        <f>'Свод '!AI58+'Свод '!BA58+'Свод '!BC58+'Свод '!CG58+'Свод '!DG58+'Свод '!DK58+'Свод '!DQ58+'Свод '!FC58+'Свод '!FI58+'Свод '!HE58+'Свод '!HQ58+'Свод '!HY58+Лист1!S58+Лист1!AE58+Y58</f>
        <v>5585</v>
      </c>
      <c r="AH58" s="42">
        <f>'Свод '!B58+'Свод '!D58+'Свод '!F58+'Свод '!H58</f>
        <v>2643</v>
      </c>
      <c r="AI58" s="42">
        <f>'Свод '!C58+'Свод '!E58+'Свод '!G58+'Свод '!I58</f>
        <v>2643</v>
      </c>
      <c r="AJ58" s="39">
        <f>'Свод '!AB58+'Свод '!AD58+'Свод '!AL58+'Свод '!AN58+'Свод '!AP58+'Свод '!BD58+'Свод '!BF58+'Свод '!BH58+'Свод '!BJ58+'Свод '!BL58+'Свод '!BN58+'Свод '!BP58+'Свод '!BR58+'Свод '!BT58+'Свод '!BV58+'Свод '!BX58+'Свод '!BZ58+'Свод '!CH58+'Свод '!CJ58+'Свод '!CL58+'Свод '!CN58+'Свод '!CP58+'Свод '!CR58+'Свод '!CT58+'Свод '!CV58+'Свод '!CX58+'Свод '!CZ58+'Свод '!DB58+'Свод '!DH58+'Свод '!DN58+'Свод '!DR58+'Свод '!DT58+'Свод '!DV58+'Свод '!DX58+'Свод '!DZ58+'Свод '!EB58+'Свод '!ED58+'Свод '!EF58+'Свод '!EH58+'Свод '!EJ58+'Свод '!EL58+'Свод '!FJ58+'Свод '!FL58+'Свод '!FN58+'Свод '!FP58+'Свод '!FR58+'Свод '!FT58+'Свод '!FV58+'Свод '!FX58+'Свод '!FZ58+'Свод '!GB58+'Свод '!GD58+'Свод '!GF58+'Свод '!GH58+'Свод '!HF58+'Свод '!HH58+'Свод '!HJ58+'Свод '!HL58+'Свод '!HN58+'Свод '!HR58+Лист1!B58+Лист1!D58+Лист1!F58+Лист1!H58+Лист1!J58+Лист1!L58+Лист1!N58+Лист1!P58+'Свод '!DL58</f>
        <v>1296.5</v>
      </c>
      <c r="AK58" s="39">
        <f>'Свод '!AC58+'Свод '!AE58+'Свод '!AM58+'Свод '!AO58+'Свод '!AQ58+'Свод '!BE58+'Свод '!BG58+'Свод '!BI58+'Свод '!BK58+'Свод '!BM58+'Свод '!BO58+'Свод '!BQ58+'Свод '!BS58+'Свод '!BU58+'Свод '!BW58+'Свод '!BY58+'Свод '!CA58+'Свод '!CI58+'Свод '!CK58+'Свод '!CM58+'Свод '!CO58+'Свод '!CQ58+'Свод '!CS58+'Свод '!CU58+'Свод '!CW58+'Свод '!CY58+'Свод '!DA58+'Свод '!DC58+'Свод '!DI58+'Свод '!DO58+'Свод '!DS58+'Свод '!DU58+'Свод '!DW58+'Свод '!DY58+'Свод '!EA58+'Свод '!EC58+'Свод '!EE58+'Свод '!EG58+'Свод '!EI58+'Свод '!EK58+'Свод '!EM58+'Свод '!FK58+'Свод '!FM58+'Свод '!FO58+'Свод '!FQ58+'Свод '!FS58+'Свод '!FU58+'Свод '!FW58+'Свод '!FY58+'Свод '!GA58+'Свод '!GC58+'Свод '!GE58+'Свод '!GG58+'Свод '!GI58+'Свод '!HG58+'Свод '!HI58+'Свод '!HK58+'Свод '!HM58+'Свод '!HO58+'Свод '!HS58+Лист1!C58+Лист1!E58+Лист1!G58+Лист1!I58+Лист1!K58+Лист1!M58+Лист1!O58+Лист1!Q58+'Свод '!DM58</f>
        <v>1285.5</v>
      </c>
      <c r="AL58" s="144">
        <f>'Свод '!AF58+'Свод '!AJ58+'Свод '!BB58+'Свод '!CB58+'Свод '!CD58+'Свод '!EN58+'Свод '!FD58+'Свод '!FF58+'Свод '!GJ58+'Свод '!GL58+'Свод '!GN58+'Свод '!GP58+'Свод '!GR58+'Свод '!GT58+'Свод '!GV58+'Свод '!GX58+'Свод '!HT58+'Свод '!HV58</f>
        <v>73</v>
      </c>
      <c r="AM58" s="42">
        <f>'Свод '!AG58+'Свод '!AK58+'Свод '!BC58+'Свод '!CC58+'Свод '!CE58+'Свод '!EO58+'Свод '!FE58+'Свод '!FG58+'Свод '!GK58+'Свод '!GM58+'Свод '!GO58+'Свод '!GQ58+'Свод '!GS58+'Свод '!GU58+'Свод '!GW58+'Свод '!GY58+'Свод '!HU58+'Свод '!HW58</f>
        <v>73</v>
      </c>
      <c r="AN58" s="42">
        <f>'Свод '!J58+'Свод '!L58+'Свод '!N58+'Свод '!P58+'Свод '!R58+'Свод '!T58+'Свод '!V58+'Свод '!X58+'Свод '!Z58+'Свод '!AR58+'Свод '!AT58+'Свод '!AV58+'Свод '!AX58+'Свод '!DD58+'Свод '!EP58+'Свод '!ER58+'Свод '!ET58+'Свод '!EV58+'Свод '!EX58+'Свод '!EZ58+'Свод '!GZ58+'Свод '!HB58+T58+V58+Z58+AB58</f>
        <v>1583.5</v>
      </c>
      <c r="AO58" s="42">
        <f>'Свод '!K58+'Свод '!M58+'Свод '!O58+'Свод '!Q58+'Свод '!S58+'Свод '!U58+'Свод '!W58+'Свод '!Y58+'Свод '!AA58+'Свод '!AS58+'Свод '!AU58+'Свод '!AW58+'Свод '!AY58+'Свод '!DE58+'Свод '!EQ58+'Свод '!ES58+'Свод '!EU58+'Свод '!EW58+'Свод '!EY58+'Свод '!FA58+'Свод '!HA58+'Свод '!HC58+U58+W58+AA58+AC58</f>
        <v>1583.5</v>
      </c>
    </row>
    <row r="59" spans="1:41" ht="12.75">
      <c r="A59" s="111" t="s">
        <v>238</v>
      </c>
      <c r="B59" s="104"/>
      <c r="C59" s="42"/>
      <c r="D59" s="40"/>
      <c r="E59" s="40"/>
      <c r="F59" s="43"/>
      <c r="G59" s="46"/>
      <c r="H59" s="40"/>
      <c r="I59" s="40"/>
      <c r="J59" s="112"/>
      <c r="K59" s="42"/>
      <c r="L59" s="40"/>
      <c r="M59" s="40"/>
      <c r="N59" s="40"/>
      <c r="O59" s="40"/>
      <c r="P59" s="40"/>
      <c r="Q59" s="40"/>
      <c r="R59" s="42">
        <f t="shared" si="1"/>
        <v>0</v>
      </c>
      <c r="S59" s="42">
        <f t="shared" si="2"/>
        <v>0</v>
      </c>
      <c r="T59" s="42"/>
      <c r="U59" s="42"/>
      <c r="V59" s="40"/>
      <c r="W59" s="40"/>
      <c r="X59" s="42">
        <f t="shared" si="3"/>
        <v>0</v>
      </c>
      <c r="Y59" s="42">
        <f t="shared" si="4"/>
        <v>0</v>
      </c>
      <c r="Z59" s="42"/>
      <c r="AA59" s="42"/>
      <c r="AB59" s="40"/>
      <c r="AC59" s="40"/>
      <c r="AD59" s="42">
        <f t="shared" si="5"/>
        <v>0</v>
      </c>
      <c r="AE59" s="42">
        <f t="shared" si="6"/>
        <v>0</v>
      </c>
      <c r="AF59" s="42">
        <f>'Свод '!AH59+'Свод '!AZ59+'Свод '!BB59+'Свод '!CF59+'Свод '!DF59+'Свод '!DJ59+'Свод '!DP59+'Свод '!FB59+'Свод '!FH59+'Свод '!HD59+'Свод '!HP59+'Свод '!HX59+Лист1!R59+Лист1!AD59+X59</f>
        <v>1975.6912100000002</v>
      </c>
      <c r="AG59" s="42">
        <f>'Свод '!AI59+'Свод '!BA59+'Свод '!BC59+'Свод '!CG59+'Свод '!DG59+'Свод '!DK59+'Свод '!DQ59+'Свод '!FC59+'Свод '!FI59+'Свод '!HE59+'Свод '!HQ59+'Свод '!HY59+Лист1!S59+Лист1!AE59+Y59</f>
        <v>1967.1442100000002</v>
      </c>
      <c r="AH59" s="42">
        <f>'Свод '!B59+'Свод '!D59+'Свод '!F59+'Свод '!H59</f>
        <v>1224</v>
      </c>
      <c r="AI59" s="42">
        <f>'Свод '!C59+'Свод '!E59+'Свод '!G59+'Свод '!I59</f>
        <v>1224</v>
      </c>
      <c r="AJ59" s="39">
        <f>'Свод '!AB59+'Свод '!AD59+'Свод '!AL59+'Свод '!AN59+'Свод '!AP59+'Свод '!BD59+'Свод '!BF59+'Свод '!BH59+'Свод '!BJ59+'Свод '!BL59+'Свод '!BN59+'Свод '!BP59+'Свод '!BR59+'Свод '!BT59+'Свод '!BV59+'Свод '!BX59+'Свод '!BZ59+'Свод '!CH59+'Свод '!CJ59+'Свод '!CL59+'Свод '!CN59+'Свод '!CP59+'Свод '!CR59+'Свод '!CT59+'Свод '!CV59+'Свод '!CX59+'Свод '!CZ59+'Свод '!DB59+'Свод '!DH59+'Свод '!DN59+'Свод '!DR59+'Свод '!DT59+'Свод '!DV59+'Свод '!DX59+'Свод '!DZ59+'Свод '!EB59+'Свод '!ED59+'Свод '!EF59+'Свод '!EH59+'Свод '!EJ59+'Свод '!EL59+'Свод '!FJ59+'Свод '!FL59+'Свод '!FN59+'Свод '!FP59+'Свод '!FR59+'Свод '!FT59+'Свод '!FV59+'Свод '!FX59+'Свод '!FZ59+'Свод '!GB59+'Свод '!GD59+'Свод '!GF59+'Свод '!GH59+'Свод '!HF59+'Свод '!HH59+'Свод '!HJ59+'Свод '!HL59+'Свод '!HN59+'Свод '!HR59+Лист1!B59+Лист1!D59+Лист1!F59+Лист1!H59+Лист1!J59+Лист1!L59+Лист1!N59+Лист1!P59+'Свод '!DL59</f>
        <v>527.15</v>
      </c>
      <c r="AK59" s="39">
        <f>'Свод '!AC59+'Свод '!AE59+'Свод '!AM59+'Свод '!AO59+'Свод '!AQ59+'Свод '!BE59+'Свод '!BG59+'Свод '!BI59+'Свод '!BK59+'Свод '!BM59+'Свод '!BO59+'Свод '!BQ59+'Свод '!BS59+'Свод '!BU59+'Свод '!BW59+'Свод '!BY59+'Свод '!CA59+'Свод '!CI59+'Свод '!CK59+'Свод '!CM59+'Свод '!CO59+'Свод '!CQ59+'Свод '!CS59+'Свод '!CU59+'Свод '!CW59+'Свод '!CY59+'Свод '!DA59+'Свод '!DC59+'Свод '!DI59+'Свод '!DO59+'Свод '!DS59+'Свод '!DU59+'Свод '!DW59+'Свод '!DY59+'Свод '!EA59+'Свод '!EC59+'Свод '!EE59+'Свод '!EG59+'Свод '!EI59+'Свод '!EK59+'Свод '!EM59+'Свод '!FK59+'Свод '!FM59+'Свод '!FO59+'Свод '!FQ59+'Свод '!FS59+'Свод '!FU59+'Свод '!FW59+'Свод '!FY59+'Свод '!GA59+'Свод '!GC59+'Свод '!GE59+'Свод '!GG59+'Свод '!GI59+'Свод '!HG59+'Свод '!HI59+'Свод '!HK59+'Свод '!HM59+'Свод '!HO59+'Свод '!HS59+Лист1!C59+Лист1!E59+Лист1!G59+Лист1!I59+Лист1!K59+Лист1!M59+Лист1!O59+Лист1!Q59+'Свод '!DM59</f>
        <v>518.6030000000001</v>
      </c>
      <c r="AL59" s="144">
        <f>'Свод '!AF59+'Свод '!AJ59+'Свод '!BB59+'Свод '!CB59+'Свод '!CD59+'Свод '!EN59+'Свод '!FD59+'Свод '!FF59+'Свод '!GJ59+'Свод '!GL59+'Свод '!GN59+'Свод '!GP59+'Свод '!GR59+'Свод '!GT59+'Свод '!GV59+'Свод '!GX59+'Свод '!HT59+'Свод '!HV59</f>
        <v>73</v>
      </c>
      <c r="AM59" s="42">
        <f>'Свод '!AG59+'Свод '!AK59+'Свод '!BC59+'Свод '!CC59+'Свод '!CE59+'Свод '!EO59+'Свод '!FE59+'Свод '!FG59+'Свод '!GK59+'Свод '!GM59+'Свод '!GO59+'Свод '!GQ59+'Свод '!GS59+'Свод '!GU59+'Свод '!GW59+'Свод '!GY59+'Свод '!HU59+'Свод '!HW59</f>
        <v>73</v>
      </c>
      <c r="AN59" s="42">
        <f>'Свод '!J59+'Свод '!L59+'Свод '!N59+'Свод '!P59+'Свод '!R59+'Свод '!T59+'Свод '!V59+'Свод '!X59+'Свод '!Z59+'Свод '!AR59+'Свод '!AT59+'Свод '!AV59+'Свод '!AX59+'Свод '!DD59+'Свод '!EP59+'Свод '!ER59+'Свод '!ET59+'Свод '!EV59+'Свод '!EX59+'Свод '!EZ59+'Свод '!GZ59+'Свод '!HB59+T59+V59+Z59+AB59</f>
        <v>151.54121</v>
      </c>
      <c r="AO59" s="42">
        <f>'Свод '!K59+'Свод '!M59+'Свод '!O59+'Свод '!Q59+'Свод '!S59+'Свод '!U59+'Свод '!W59+'Свод '!Y59+'Свод '!AA59+'Свод '!AS59+'Свод '!AU59+'Свод '!AW59+'Свод '!AY59+'Свод '!DE59+'Свод '!EQ59+'Свод '!ES59+'Свод '!EU59+'Свод '!EW59+'Свод '!EY59+'Свод '!FA59+'Свод '!HA59+'Свод '!HC59+U59+W59+AA59+AC59</f>
        <v>151.54121</v>
      </c>
    </row>
    <row r="60" spans="1:41" ht="23.25" customHeight="1">
      <c r="A60" s="108" t="s">
        <v>135</v>
      </c>
      <c r="B60" s="104">
        <v>0</v>
      </c>
      <c r="C60" s="42">
        <v>0</v>
      </c>
      <c r="D60" s="40">
        <f>SUM(D61:D67)</f>
        <v>0</v>
      </c>
      <c r="E60" s="40">
        <f>SUM(E61:E67)</f>
        <v>0</v>
      </c>
      <c r="F60" s="43">
        <v>8</v>
      </c>
      <c r="G60" s="46">
        <v>8</v>
      </c>
      <c r="H60" s="40">
        <f>SUM(H61:H67)</f>
        <v>0</v>
      </c>
      <c r="I60" s="40">
        <f>SUM(I61:I67)</f>
        <v>0</v>
      </c>
      <c r="J60" s="104">
        <v>0</v>
      </c>
      <c r="K60" s="42">
        <v>0</v>
      </c>
      <c r="L60" s="47">
        <v>0</v>
      </c>
      <c r="M60" s="47">
        <v>0</v>
      </c>
      <c r="N60" s="47">
        <f>SUM(N61:N67)</f>
        <v>0</v>
      </c>
      <c r="O60" s="47">
        <f>SUM(O61:O67)</f>
        <v>0</v>
      </c>
      <c r="P60" s="47">
        <f>SUM(P61:P67)</f>
        <v>0</v>
      </c>
      <c r="Q60" s="47">
        <f>SUM(Q61:Q67)</f>
        <v>0</v>
      </c>
      <c r="R60" s="42">
        <f t="shared" si="1"/>
        <v>8</v>
      </c>
      <c r="S60" s="42">
        <f t="shared" si="2"/>
        <v>8</v>
      </c>
      <c r="T60" s="42">
        <v>204.3</v>
      </c>
      <c r="U60" s="42">
        <v>204.3</v>
      </c>
      <c r="V60" s="40">
        <v>10.7</v>
      </c>
      <c r="W60" s="40">
        <v>10.7</v>
      </c>
      <c r="X60" s="42">
        <f t="shared" si="3"/>
        <v>215</v>
      </c>
      <c r="Y60" s="42">
        <f t="shared" si="4"/>
        <v>215</v>
      </c>
      <c r="Z60" s="42">
        <v>0</v>
      </c>
      <c r="AA60" s="42">
        <v>0</v>
      </c>
      <c r="AB60" s="40">
        <v>0</v>
      </c>
      <c r="AC60" s="40">
        <v>0</v>
      </c>
      <c r="AD60" s="42">
        <f t="shared" si="5"/>
        <v>0</v>
      </c>
      <c r="AE60" s="42">
        <f t="shared" si="6"/>
        <v>0</v>
      </c>
      <c r="AF60" s="42">
        <f>'Свод '!AH60+'Свод '!AZ60+'Свод '!BB60+'Свод '!CF60+'Свод '!DF60+'Свод '!DJ60+'Свод '!DP60+'Свод '!FB60+'Свод '!FH60+'Свод '!HD60+'Свод '!HP60+'Свод '!HX60+Лист1!R60+Лист1!AD60+X60</f>
        <v>547484.38773</v>
      </c>
      <c r="AG60" s="42">
        <f>'Свод '!AI60+'Свод '!BA60+'Свод '!BC60+'Свод '!CG60+'Свод '!DG60+'Свод '!DK60+'Свод '!DQ60+'Свод '!FC60+'Свод '!FI60+'Свод '!HE60+'Свод '!HQ60+'Свод '!HY60+Лист1!S60+Лист1!AE60+Y60</f>
        <v>400308.50564</v>
      </c>
      <c r="AH60" s="42">
        <f>'Свод '!B60+'Свод '!D60+'Свод '!F60+'Свод '!H60</f>
        <v>89211</v>
      </c>
      <c r="AI60" s="42">
        <f>'Свод '!C60+'Свод '!E60+'Свод '!G60+'Свод '!I60</f>
        <v>89211</v>
      </c>
      <c r="AJ60" s="39">
        <f>'Свод '!AB60+'Свод '!AD60+'Свод '!AL60+'Свод '!AN60+'Свод '!AP60+'Свод '!BD60+'Свод '!BF60+'Свод '!BH60+'Свод '!BJ60+'Свод '!BL60+'Свод '!BN60+'Свод '!BP60+'Свод '!BR60+'Свод '!BT60+'Свод '!BV60+'Свод '!BX60+'Свод '!BZ60+'Свод '!CH60+'Свод '!CJ60+'Свод '!CL60+'Свод '!CN60+'Свод '!CP60+'Свод '!CR60+'Свод '!CT60+'Свод '!CV60+'Свод '!CX60+'Свод '!CZ60+'Свод '!DB60+'Свод '!DH60+'Свод '!DN60+'Свод '!DR60+'Свод '!DT60+'Свод '!DV60+'Свод '!DX60+'Свод '!DZ60+'Свод '!EB60+'Свод '!ED60+'Свод '!EF60+'Свод '!EH60+'Свод '!EJ60+'Свод '!EL60+'Свод '!FJ60+'Свод '!FL60+'Свод '!FN60+'Свод '!FP60+'Свод '!FR60+'Свод '!FT60+'Свод '!FV60+'Свод '!FX60+'Свод '!FZ60+'Свод '!GB60+'Свод '!GD60+'Свод '!GF60+'Свод '!GH60+'Свод '!HF60+'Свод '!HH60+'Свод '!HJ60+'Свод '!HL60+'Свод '!HN60+'Свод '!HR60+Лист1!B60+Лист1!D60+Лист1!F60+Лист1!H60+Лист1!J60+Лист1!L60+Лист1!N60+Лист1!P60+'Свод '!DL60</f>
        <v>262784.50626000005</v>
      </c>
      <c r="AK60" s="39">
        <f>'Свод '!AC60+'Свод '!AE60+'Свод '!AM60+'Свод '!AO60+'Свод '!AQ60+'Свод '!BE60+'Свод '!BG60+'Свод '!BI60+'Свод '!BK60+'Свод '!BM60+'Свод '!BO60+'Свод '!BQ60+'Свод '!BS60+'Свод '!BU60+'Свод '!BW60+'Свод '!BY60+'Свод '!CA60+'Свод '!CI60+'Свод '!CK60+'Свод '!CM60+'Свод '!CO60+'Свод '!CQ60+'Свод '!CS60+'Свод '!CU60+'Свод '!CW60+'Свод '!CY60+'Свод '!DA60+'Свод '!DC60+'Свод '!DI60+'Свод '!DO60+'Свод '!DS60+'Свод '!DU60+'Свод '!DW60+'Свод '!DY60+'Свод '!EA60+'Свод '!EC60+'Свод '!EE60+'Свод '!EG60+'Свод '!EI60+'Свод '!EK60+'Свод '!EM60+'Свод '!FK60+'Свод '!FM60+'Свод '!FO60+'Свод '!FQ60+'Свод '!FS60+'Свод '!FU60+'Свод '!FW60+'Свод '!FY60+'Свод '!GA60+'Свод '!GC60+'Свод '!GE60+'Свод '!GG60+'Свод '!GI60+'Свод '!HG60+'Свод '!HI60+'Свод '!HK60+'Свод '!HM60+'Свод '!HO60+'Свод '!HS60+Лист1!C60+Лист1!E60+Лист1!G60+Лист1!I60+Лист1!K60+Лист1!M60+Лист1!O60+Лист1!Q60+'Свод '!DM60</f>
        <v>115619.65217999999</v>
      </c>
      <c r="AL60" s="144">
        <f>'Свод '!AF60+'Свод '!AJ60+'Свод '!BB60+'Свод '!CB60+'Свод '!CD60+'Свод '!EN60+'Свод '!FD60+'Свод '!FF60+'Свод '!GJ60+'Свод '!GL60+'Свод '!GN60+'Свод '!GP60+'Свод '!GR60+'Свод '!GT60+'Свод '!GV60+'Свод '!GX60+'Свод '!HT60+'Свод '!HV60</f>
        <v>182789.425</v>
      </c>
      <c r="AM60" s="42">
        <f>'Свод '!AG60+'Свод '!AK60+'Свод '!BC60+'Свод '!CC60+'Свод '!CE60+'Свод '!EO60+'Свод '!FE60+'Свод '!FG60+'Свод '!GK60+'Свод '!GM60+'Свод '!GO60+'Свод '!GQ60+'Свод '!GS60+'Свод '!GU60+'Свод '!GW60+'Свод '!GY60+'Свод '!HU60+'Свод '!HW60</f>
        <v>182782.525</v>
      </c>
      <c r="AN60" s="42">
        <f>'Свод '!J60+'Свод '!L60+'Свод '!N60+'Свод '!P60+'Свод '!R60+'Свод '!T60+'Свод '!V60+'Свод '!X60+'Свод '!Z60+'Свод '!AR60+'Свод '!AT60+'Свод '!AV60+'Свод '!AX60+'Свод '!DD60+'Свод '!EP60+'Свод '!ER60+'Свод '!ET60+'Свод '!EV60+'Свод '!EX60+'Свод '!EZ60+'Свод '!GZ60+'Свод '!HB60+T60+V60+Z60+AB60</f>
        <v>12699.45647</v>
      </c>
      <c r="AO60" s="42">
        <f>'Свод '!K60+'Свод '!M60+'Свод '!O60+'Свод '!Q60+'Свод '!S60+'Свод '!U60+'Свод '!W60+'Свод '!Y60+'Свод '!AA60+'Свод '!AS60+'Свод '!AU60+'Свод '!AW60+'Свод '!AY60+'Свод '!DE60+'Свод '!EQ60+'Свод '!ES60+'Свод '!EU60+'Свод '!EW60+'Свод '!EY60+'Свод '!FA60+'Свод '!HA60+'Свод '!HC60+U60+W60+AA60+AC60</f>
        <v>12695.328459999997</v>
      </c>
    </row>
    <row r="61" spans="1:41" ht="12.75">
      <c r="A61" s="103" t="s">
        <v>156</v>
      </c>
      <c r="B61" s="104"/>
      <c r="C61" s="42"/>
      <c r="D61" s="40"/>
      <c r="E61" s="40"/>
      <c r="F61" s="43">
        <v>8</v>
      </c>
      <c r="G61" s="42">
        <v>8</v>
      </c>
      <c r="H61" s="40"/>
      <c r="I61" s="40"/>
      <c r="J61" s="105"/>
      <c r="K61" s="42"/>
      <c r="L61" s="40"/>
      <c r="M61" s="40"/>
      <c r="N61" s="40"/>
      <c r="O61" s="40"/>
      <c r="P61" s="40"/>
      <c r="Q61" s="40"/>
      <c r="R61" s="42">
        <f t="shared" si="1"/>
        <v>8</v>
      </c>
      <c r="S61" s="42">
        <f t="shared" si="2"/>
        <v>8</v>
      </c>
      <c r="T61" s="42">
        <v>204.3</v>
      </c>
      <c r="U61" s="42">
        <v>204.3</v>
      </c>
      <c r="V61" s="40">
        <v>10.7</v>
      </c>
      <c r="W61" s="40">
        <v>10.7</v>
      </c>
      <c r="X61" s="42">
        <f t="shared" si="3"/>
        <v>215</v>
      </c>
      <c r="Y61" s="42">
        <f t="shared" si="4"/>
        <v>215</v>
      </c>
      <c r="Z61" s="42"/>
      <c r="AA61" s="42"/>
      <c r="AB61" s="40"/>
      <c r="AC61" s="40"/>
      <c r="AD61" s="42">
        <f t="shared" si="5"/>
        <v>0</v>
      </c>
      <c r="AE61" s="42">
        <f t="shared" si="6"/>
        <v>0</v>
      </c>
      <c r="AF61" s="42">
        <f>'Свод '!AH61+'Свод '!AZ61+'Свод '!BB61+'Свод '!CF61+'Свод '!DF61+'Свод '!DJ61+'Свод '!DP61+'Свод '!FB61+'Свод '!FH61+'Свод '!HD61+'Свод '!HP61+'Свод '!HX61+Лист1!R61+Лист1!AD61+X61</f>
        <v>473298.10599999997</v>
      </c>
      <c r="AG61" s="42">
        <f>'Свод '!AI61+'Свод '!BA61+'Свод '!BC61+'Свод '!CG61+'Свод '!DG61+'Свод '!DK61+'Свод '!DQ61+'Свод '!FC61+'Свод '!FI61+'Свод '!HE61+'Свод '!HQ61+'Свод '!HY61+Лист1!S61+Лист1!AE61+Y61</f>
        <v>336328.466</v>
      </c>
      <c r="AH61" s="42">
        <f>'Свод '!B61+'Свод '!D61+'Свод '!F61+'Свод '!H61</f>
        <v>75869</v>
      </c>
      <c r="AI61" s="42">
        <f>'Свод '!C61+'Свод '!E61+'Свод '!G61+'Свод '!I61</f>
        <v>75869</v>
      </c>
      <c r="AJ61" s="39">
        <f>'Свод '!AB61+'Свод '!AD61+'Свод '!AL61+'Свод '!AN61+'Свод '!AP61+'Свод '!BD61+'Свод '!BF61+'Свод '!BH61+'Свод '!BJ61+'Свод '!BL61+'Свод '!BN61+'Свод '!BP61+'Свод '!BR61+'Свод '!BT61+'Свод '!BV61+'Свод '!BX61+'Свод '!BZ61+'Свод '!CH61+'Свод '!CJ61+'Свод '!CL61+'Свод '!CN61+'Свод '!CP61+'Свод '!CR61+'Свод '!CT61+'Свод '!CV61+'Свод '!CX61+'Свод '!CZ61+'Свод '!DB61+'Свод '!DH61+'Свод '!DN61+'Свод '!DR61+'Свод '!DT61+'Свод '!DV61+'Свод '!DX61+'Свод '!DZ61+'Свод '!EB61+'Свод '!ED61+'Свод '!EF61+'Свод '!EH61+'Свод '!EJ61+'Свод '!EL61+'Свод '!FJ61+'Свод '!FL61+'Свод '!FN61+'Свод '!FP61+'Свод '!FR61+'Свод '!FT61+'Свод '!FV61+'Свод '!FX61+'Свод '!FZ61+'Свод '!GB61+'Свод '!GD61+'Свод '!GF61+'Свод '!GH61+'Свод '!HF61+'Свод '!HH61+'Свод '!HJ61+'Свод '!HL61+'Свод '!HN61+'Свод '!HR61+Лист1!B61+Лист1!D61+Лист1!F61+Лист1!H61+Лист1!J61+Лист1!L61+Лист1!N61+Лист1!P61+'Свод '!DL61</f>
        <v>214753.48100000003</v>
      </c>
      <c r="AK61" s="39">
        <f>'Свод '!AC61+'Свод '!AE61+'Свод '!AM61+'Свод '!AO61+'Свод '!AQ61+'Свод '!BE61+'Свод '!BG61+'Свод '!BI61+'Свод '!BK61+'Свод '!BM61+'Свод '!BO61+'Свод '!BQ61+'Свод '!BS61+'Свод '!BU61+'Свод '!BW61+'Свод '!BY61+'Свод '!CA61+'Свод '!CI61+'Свод '!CK61+'Свод '!CM61+'Свод '!CO61+'Свод '!CQ61+'Свод '!CS61+'Свод '!CU61+'Свод '!CW61+'Свод '!CY61+'Свод '!DA61+'Свод '!DC61+'Свод '!DI61+'Свод '!DO61+'Свод '!DS61+'Свод '!DU61+'Свод '!DW61+'Свод '!DY61+'Свод '!EA61+'Свод '!EC61+'Свод '!EE61+'Свод '!EG61+'Свод '!EI61+'Свод '!EK61+'Свод '!EM61+'Свод '!FK61+'Свод '!FM61+'Свод '!FO61+'Свод '!FQ61+'Свод '!FS61+'Свод '!FU61+'Свод '!FW61+'Свод '!FY61+'Свод '!GA61+'Свод '!GC61+'Свод '!GE61+'Свод '!GG61+'Свод '!GI61+'Свод '!HG61+'Свод '!HI61+'Свод '!HK61+'Свод '!HM61+'Свод '!HO61+'Свод '!HS61+Лист1!C61+Лист1!E61+Лист1!G61+Лист1!I61+Лист1!K61+Лист1!M61+Лист1!O61+Лист1!Q61+'Свод '!DM61</f>
        <v>77790.741</v>
      </c>
      <c r="AL61" s="144">
        <f>'Свод '!AF61+'Свод '!AJ61+'Свод '!BB61+'Свод '!CB61+'Свод '!CD61+'Свод '!EN61+'Свод '!FD61+'Свод '!FF61+'Свод '!GJ61+'Свод '!GL61+'Свод '!GN61+'Свод '!GP61+'Свод '!GR61+'Свод '!GT61+'Свод '!GV61+'Свод '!GX61+'Свод '!HT61+'Свод '!HV61</f>
        <v>182128.425</v>
      </c>
      <c r="AM61" s="42">
        <f>'Свод '!AG61+'Свод '!AK61+'Свод '!BC61+'Свод '!CC61+'Свод '!CE61+'Свод '!EO61+'Свод '!FE61+'Свод '!FG61+'Свод '!GK61+'Свод '!GM61+'Свод '!GO61+'Свод '!GQ61+'Свод '!GS61+'Свод '!GU61+'Свод '!GW61+'Свод '!GY61+'Свод '!HU61+'Свод '!HW61</f>
        <v>182121.525</v>
      </c>
      <c r="AN61" s="42">
        <f>'Свод '!J61+'Свод '!L61+'Свод '!N61+'Свод '!P61+'Свод '!R61+'Свод '!T61+'Свод '!V61+'Свод '!X61+'Свод '!Z61+'Свод '!AR61+'Свод '!AT61+'Свод '!AV61+'Свод '!AX61+'Свод '!DD61+'Свод '!EP61+'Свод '!ER61+'Свод '!ET61+'Свод '!EV61+'Свод '!EX61+'Свод '!EZ61+'Свод '!GZ61+'Свод '!HB61+T61+V61+Z61+AB61</f>
        <v>547.2</v>
      </c>
      <c r="AO61" s="42">
        <f>'Свод '!K61+'Свод '!M61+'Свод '!O61+'Свод '!Q61+'Свод '!S61+'Свод '!U61+'Свод '!W61+'Свод '!Y61+'Свод '!AA61+'Свод '!AS61+'Свод '!AU61+'Свод '!AW61+'Свод '!AY61+'Свод '!DE61+'Свод '!EQ61+'Свод '!ES61+'Свод '!EU61+'Свод '!EW61+'Свод '!EY61+'Свод '!FA61+'Свод '!HA61+'Свод '!HC61+U61+W61+AA61+AC61</f>
        <v>547.2</v>
      </c>
    </row>
    <row r="62" spans="1:41" ht="12.75" customHeight="1">
      <c r="A62" s="109" t="s">
        <v>210</v>
      </c>
      <c r="B62" s="104"/>
      <c r="C62" s="42"/>
      <c r="D62" s="40"/>
      <c r="E62" s="40"/>
      <c r="F62" s="43"/>
      <c r="G62" s="46"/>
      <c r="H62" s="40"/>
      <c r="I62" s="40"/>
      <c r="J62" s="110"/>
      <c r="K62" s="42"/>
      <c r="L62" s="40"/>
      <c r="M62" s="40"/>
      <c r="N62" s="40"/>
      <c r="O62" s="40"/>
      <c r="P62" s="40"/>
      <c r="Q62" s="40"/>
      <c r="R62" s="42">
        <f t="shared" si="1"/>
        <v>0</v>
      </c>
      <c r="S62" s="42">
        <f t="shared" si="2"/>
        <v>0</v>
      </c>
      <c r="T62" s="42"/>
      <c r="U62" s="42"/>
      <c r="V62" s="40"/>
      <c r="W62" s="40"/>
      <c r="X62" s="42">
        <f t="shared" si="3"/>
        <v>0</v>
      </c>
      <c r="Y62" s="42">
        <f t="shared" si="4"/>
        <v>0</v>
      </c>
      <c r="Z62" s="42"/>
      <c r="AA62" s="42"/>
      <c r="AB62" s="40"/>
      <c r="AC62" s="40"/>
      <c r="AD62" s="42">
        <f t="shared" si="5"/>
        <v>0</v>
      </c>
      <c r="AE62" s="42">
        <f t="shared" si="6"/>
        <v>0</v>
      </c>
      <c r="AF62" s="42">
        <f>'Свод '!AH62+'Свод '!AZ62+'Свод '!BB62+'Свод '!CF62+'Свод '!DF62+'Свод '!DJ62+'Свод '!DP62+'Свод '!FB62+'Свод '!FH62+'Свод '!HD62+'Свод '!HP62+'Свод '!HX62+Лист1!R62+Лист1!AD62+X62</f>
        <v>31718.86507</v>
      </c>
      <c r="AG62" s="42">
        <f>'Свод '!AI62+'Свод '!BA62+'Свод '!BC62+'Свод '!CG62+'Свод '!DG62+'Свод '!DK62+'Свод '!DQ62+'Свод '!FC62+'Свод '!FI62+'Свод '!HE62+'Свод '!HQ62+'Свод '!HY62+Лист1!S62+Лист1!AE62+Y62</f>
        <v>31718.86507</v>
      </c>
      <c r="AH62" s="42">
        <f>'Свод '!B62+'Свод '!D62+'Свод '!F62+'Свод '!H62</f>
        <v>2132</v>
      </c>
      <c r="AI62" s="42">
        <f>'Свод '!C62+'Свод '!E62+'Свод '!G62+'Свод '!I62</f>
        <v>2132</v>
      </c>
      <c r="AJ62" s="39">
        <f>'Свод '!AB62+'Свод '!AD62+'Свод '!AL62+'Свод '!AN62+'Свод '!AP62+'Свод '!BD62+'Свод '!BF62+'Свод '!BH62+'Свод '!BJ62+'Свод '!BL62+'Свод '!BN62+'Свод '!BP62+'Свод '!BR62+'Свод '!BT62+'Свод '!BV62+'Свод '!BX62+'Свод '!BZ62+'Свод '!CH62+'Свод '!CJ62+'Свод '!CL62+'Свод '!CN62+'Свод '!CP62+'Свод '!CR62+'Свод '!CT62+'Свод '!CV62+'Свод '!CX62+'Свод '!CZ62+'Свод '!DB62+'Свод '!DH62+'Свод '!DN62+'Свод '!DR62+'Свод '!DT62+'Свод '!DV62+'Свод '!DX62+'Свод '!DZ62+'Свод '!EB62+'Свод '!ED62+'Свод '!EF62+'Свод '!EH62+'Свод '!EJ62+'Свод '!EL62+'Свод '!FJ62+'Свод '!FL62+'Свод '!FN62+'Свод '!FP62+'Свод '!FR62+'Свод '!FT62+'Свод '!FV62+'Свод '!FX62+'Свод '!FZ62+'Свод '!GB62+'Свод '!GD62+'Свод '!GF62+'Свод '!GH62+'Свод '!HF62+'Свод '!HH62+'Свод '!HJ62+'Свод '!HL62+'Свод '!HN62+'Свод '!HR62+Лист1!B62+Лист1!D62+Лист1!F62+Лист1!H62+Лист1!J62+Лист1!L62+Лист1!N62+Лист1!P62+'Свод '!DL62</f>
        <v>22516.865070000003</v>
      </c>
      <c r="AK62" s="39">
        <f>'Свод '!AC62+'Свод '!AE62+'Свод '!AM62+'Свод '!AO62+'Свод '!AQ62+'Свод '!BE62+'Свод '!BG62+'Свод '!BI62+'Свод '!BK62+'Свод '!BM62+'Свод '!BO62+'Свод '!BQ62+'Свод '!BS62+'Свод '!BU62+'Свод '!BW62+'Свод '!BY62+'Свод '!CA62+'Свод '!CI62+'Свод '!CK62+'Свод '!CM62+'Свод '!CO62+'Свод '!CQ62+'Свод '!CS62+'Свод '!CU62+'Свод '!CW62+'Свод '!CY62+'Свод '!DA62+'Свод '!DC62+'Свод '!DI62+'Свод '!DO62+'Свод '!DS62+'Свод '!DU62+'Свод '!DW62+'Свод '!DY62+'Свод '!EA62+'Свод '!EC62+'Свод '!EE62+'Свод '!EG62+'Свод '!EI62+'Свод '!EK62+'Свод '!EM62+'Свод '!FK62+'Свод '!FM62+'Свод '!FO62+'Свод '!FQ62+'Свод '!FS62+'Свод '!FU62+'Свод '!FW62+'Свод '!FY62+'Свод '!GA62+'Свод '!GC62+'Свод '!GE62+'Свод '!GG62+'Свод '!GI62+'Свод '!HG62+'Свод '!HI62+'Свод '!HK62+'Свод '!HM62+'Свод '!HO62+'Свод '!HS62+Лист1!C62+Лист1!E62+Лист1!G62+Лист1!I62+Лист1!K62+Лист1!M62+Лист1!O62+Лист1!Q62+'Свод '!DM62</f>
        <v>22516.865070000003</v>
      </c>
      <c r="AL62" s="144">
        <f>'Свод '!AF62+'Свод '!AJ62+'Свод '!BB62+'Свод '!CB62+'Свод '!CD62+'Свод '!EN62+'Свод '!FD62+'Свод '!FF62+'Свод '!GJ62+'Свод '!GL62+'Свод '!GN62+'Свод '!GP62+'Свод '!GR62+'Свод '!GT62+'Свод '!GV62+'Свод '!GX62+'Свод '!HT62+'Свод '!HV62</f>
        <v>0</v>
      </c>
      <c r="AM62" s="42">
        <f>'Свод '!AG62+'Свод '!AK62+'Свод '!BC62+'Свод '!CC62+'Свод '!CE62+'Свод '!EO62+'Свод '!FE62+'Свод '!FG62+'Свод '!GK62+'Свод '!GM62+'Свод '!GO62+'Свод '!GQ62+'Свод '!GS62+'Свод '!GU62+'Свод '!GW62+'Свод '!GY62+'Свод '!HU62+'Свод '!HW62</f>
        <v>0</v>
      </c>
      <c r="AN62" s="42">
        <f>'Свод '!J62+'Свод '!L62+'Свод '!N62+'Свод '!P62+'Свод '!R62+'Свод '!T62+'Свод '!V62+'Свод '!X62+'Свод '!Z62+'Свод '!AR62+'Свод '!AT62+'Свод '!AV62+'Свод '!AX62+'Свод '!DD62+'Свод '!EP62+'Свод '!ER62+'Свод '!ET62+'Свод '!EV62+'Свод '!EX62+'Свод '!EZ62+'Свод '!GZ62+'Свод '!HB62+T62+V62+Z62+AB62</f>
        <v>7070</v>
      </c>
      <c r="AO62" s="42">
        <f>'Свод '!K62+'Свод '!M62+'Свод '!O62+'Свод '!Q62+'Свод '!S62+'Свод '!U62+'Свод '!W62+'Свод '!Y62+'Свод '!AA62+'Свод '!AS62+'Свод '!AU62+'Свод '!AW62+'Свод '!AY62+'Свод '!DE62+'Свод '!EQ62+'Свод '!ES62+'Свод '!EU62+'Свод '!EW62+'Свод '!EY62+'Свод '!FA62+'Свод '!HA62+'Свод '!HC62+U62+W62+AA62+AC62</f>
        <v>7070</v>
      </c>
    </row>
    <row r="63" spans="1:41" ht="12.75">
      <c r="A63" s="109" t="s">
        <v>239</v>
      </c>
      <c r="B63" s="104"/>
      <c r="C63" s="42"/>
      <c r="D63" s="40"/>
      <c r="E63" s="40"/>
      <c r="F63" s="43"/>
      <c r="G63" s="46"/>
      <c r="H63" s="40"/>
      <c r="I63" s="40"/>
      <c r="J63" s="110"/>
      <c r="K63" s="42"/>
      <c r="L63" s="40"/>
      <c r="M63" s="40"/>
      <c r="N63" s="40"/>
      <c r="O63" s="40"/>
      <c r="P63" s="40"/>
      <c r="Q63" s="40"/>
      <c r="R63" s="42">
        <f t="shared" si="1"/>
        <v>0</v>
      </c>
      <c r="S63" s="42">
        <f t="shared" si="2"/>
        <v>0</v>
      </c>
      <c r="T63" s="42"/>
      <c r="U63" s="42"/>
      <c r="V63" s="40"/>
      <c r="W63" s="40"/>
      <c r="X63" s="42">
        <f t="shared" si="3"/>
        <v>0</v>
      </c>
      <c r="Y63" s="42">
        <f t="shared" si="4"/>
        <v>0</v>
      </c>
      <c r="Z63" s="42"/>
      <c r="AA63" s="42"/>
      <c r="AB63" s="40"/>
      <c r="AC63" s="40"/>
      <c r="AD63" s="42">
        <f t="shared" si="5"/>
        <v>0</v>
      </c>
      <c r="AE63" s="42">
        <f t="shared" si="6"/>
        <v>0</v>
      </c>
      <c r="AF63" s="42">
        <f>'Свод '!AH63+'Свод '!AZ63+'Свод '!BB63+'Свод '!CF63+'Свод '!DF63+'Свод '!DJ63+'Свод '!DP63+'Свод '!FB63+'Свод '!FH63+'Свод '!HD63+'Свод '!HP63+'Свод '!HX63+Лист1!R63+Лист1!AD63+X63</f>
        <v>11895.97233</v>
      </c>
      <c r="AG63" s="42">
        <f>'Свод '!AI63+'Свод '!BA63+'Свод '!BC63+'Свод '!CG63+'Свод '!DG63+'Свод '!DK63+'Свод '!DQ63+'Свод '!FC63+'Свод '!FI63+'Свод '!HE63+'Свод '!HQ63+'Свод '!HY63+Лист1!S63+Лист1!AE63+Y63</f>
        <v>11781.79592</v>
      </c>
      <c r="AH63" s="42">
        <f>'Свод '!B63+'Свод '!D63+'Свод '!F63+'Свод '!H63</f>
        <v>1920</v>
      </c>
      <c r="AI63" s="42">
        <f>'Свод '!C63+'Свод '!E63+'Свод '!G63+'Свод '!I63</f>
        <v>1920</v>
      </c>
      <c r="AJ63" s="39">
        <f>'Свод '!AB63+'Свод '!AD63+'Свод '!AL63+'Свод '!AN63+'Свод '!AP63+'Свод '!BD63+'Свод '!BF63+'Свод '!BH63+'Свод '!BJ63+'Свод '!BL63+'Свод '!BN63+'Свод '!BP63+'Свод '!BR63+'Свод '!BT63+'Свод '!BV63+'Свод '!BX63+'Свод '!BZ63+'Свод '!CH63+'Свод '!CJ63+'Свод '!CL63+'Свод '!CN63+'Свод '!CP63+'Свод '!CR63+'Свод '!CT63+'Свод '!CV63+'Свод '!CX63+'Свод '!CZ63+'Свод '!DB63+'Свод '!DH63+'Свод '!DN63+'Свод '!DR63+'Свод '!DT63+'Свод '!DV63+'Свод '!DX63+'Свод '!DZ63+'Свод '!EB63+'Свод '!ED63+'Свод '!EF63+'Свод '!EH63+'Свод '!EJ63+'Свод '!EL63+'Свод '!FJ63+'Свод '!FL63+'Свод '!FN63+'Свод '!FP63+'Свод '!FR63+'Свод '!FT63+'Свод '!FV63+'Свод '!FX63+'Свод '!FZ63+'Свод '!GB63+'Свод '!GD63+'Свод '!GF63+'Свод '!GH63+'Свод '!HF63+'Свод '!HH63+'Свод '!HJ63+'Свод '!HL63+'Свод '!HN63+'Свод '!HR63+Лист1!B63+Лист1!D63+Лист1!F63+Лист1!H63+Лист1!J63+Лист1!L63+Лист1!N63+Лист1!P63+'Свод '!DL63</f>
        <v>6450.46919</v>
      </c>
      <c r="AK63" s="39">
        <f>'Свод '!AC63+'Свод '!AE63+'Свод '!AM63+'Свод '!AO63+'Свод '!AQ63+'Свод '!BE63+'Свод '!BG63+'Свод '!BI63+'Свод '!BK63+'Свод '!BM63+'Свод '!BO63+'Свод '!BQ63+'Свод '!BS63+'Свод '!BU63+'Свод '!BW63+'Свод '!BY63+'Свод '!CA63+'Свод '!CI63+'Свод '!CK63+'Свод '!CM63+'Свод '!CO63+'Свод '!CQ63+'Свод '!CS63+'Свод '!CU63+'Свод '!CW63+'Свод '!CY63+'Свод '!DA63+'Свод '!DC63+'Свод '!DI63+'Свод '!DO63+'Свод '!DS63+'Свод '!DU63+'Свод '!DW63+'Свод '!DY63+'Свод '!EA63+'Свод '!EC63+'Свод '!EE63+'Свод '!EG63+'Свод '!EI63+'Свод '!EK63+'Свод '!EM63+'Свод '!FK63+'Свод '!FM63+'Свод '!FO63+'Свод '!FQ63+'Свод '!FS63+'Свод '!FU63+'Свод '!FW63+'Свод '!FY63+'Свод '!GA63+'Свод '!GC63+'Свод '!GE63+'Свод '!GG63+'Свод '!GI63+'Свод '!HG63+'Свод '!HI63+'Свод '!HK63+'Свод '!HM63+'Свод '!HO63+'Свод '!HS63+Лист1!C63+Лист1!E63+Лист1!G63+Лист1!I63+Лист1!K63+Лист1!M63+Лист1!O63+Лист1!Q63+'Свод '!DM63</f>
        <v>6338.04519</v>
      </c>
      <c r="AL63" s="144">
        <f>'Свод '!AF63+'Свод '!AJ63+'Свод '!BB63+'Свод '!CB63+'Свод '!CD63+'Свод '!EN63+'Свод '!FD63+'Свод '!FF63+'Свод '!GJ63+'Свод '!GL63+'Свод '!GN63+'Свод '!GP63+'Свод '!GR63+'Свод '!GT63+'Свод '!GV63+'Свод '!GX63+'Свод '!HT63+'Свод '!HV63</f>
        <v>147</v>
      </c>
      <c r="AM63" s="42">
        <f>'Свод '!AG63+'Свод '!AK63+'Свод '!BC63+'Свод '!CC63+'Свод '!CE63+'Свод '!EO63+'Свод '!FE63+'Свод '!FG63+'Свод '!GK63+'Свод '!GM63+'Свод '!GO63+'Свод '!GQ63+'Свод '!GS63+'Свод '!GU63+'Свод '!GW63+'Свод '!GY63+'Свод '!HU63+'Свод '!HW63</f>
        <v>147</v>
      </c>
      <c r="AN63" s="42">
        <f>'Свод '!J63+'Свод '!L63+'Свод '!N63+'Свод '!P63+'Свод '!R63+'Свод '!T63+'Свод '!V63+'Свод '!X63+'Свод '!Z63+'Свод '!AR63+'Свод '!AT63+'Свод '!AV63+'Свод '!AX63+'Свод '!DD63+'Свод '!EP63+'Свод '!ER63+'Свод '!ET63+'Свод '!EV63+'Свод '!EX63+'Свод '!EZ63+'Свод '!GZ63+'Свод '!HB63+T63+V63+Z63+AB63</f>
        <v>3378.5031400000003</v>
      </c>
      <c r="AO63" s="42">
        <f>'Свод '!K63+'Свод '!M63+'Свод '!O63+'Свод '!Q63+'Свод '!S63+'Свод '!U63+'Свод '!W63+'Свод '!Y63+'Свод '!AA63+'Свод '!AS63+'Свод '!AU63+'Свод '!AW63+'Свод '!AY63+'Свод '!DE63+'Свод '!EQ63+'Свод '!ES63+'Свод '!EU63+'Свод '!EW63+'Свод '!EY63+'Свод '!FA63+'Свод '!HA63+'Свод '!HC63+U63+W63+AA63+AC63</f>
        <v>3376.7507299999997</v>
      </c>
    </row>
    <row r="64" spans="1:41" ht="12.75" customHeight="1">
      <c r="A64" s="109" t="s">
        <v>240</v>
      </c>
      <c r="B64" s="104"/>
      <c r="C64" s="42"/>
      <c r="D64" s="40"/>
      <c r="E64" s="40"/>
      <c r="F64" s="43"/>
      <c r="G64" s="46"/>
      <c r="H64" s="40"/>
      <c r="I64" s="40"/>
      <c r="J64" s="110"/>
      <c r="K64" s="42"/>
      <c r="L64" s="40"/>
      <c r="M64" s="40"/>
      <c r="N64" s="40"/>
      <c r="O64" s="40"/>
      <c r="P64" s="40"/>
      <c r="Q64" s="40"/>
      <c r="R64" s="42">
        <f t="shared" si="1"/>
        <v>0</v>
      </c>
      <c r="S64" s="42">
        <f t="shared" si="2"/>
        <v>0</v>
      </c>
      <c r="T64" s="42"/>
      <c r="U64" s="42"/>
      <c r="V64" s="40"/>
      <c r="W64" s="40"/>
      <c r="X64" s="42">
        <f t="shared" si="3"/>
        <v>0</v>
      </c>
      <c r="Y64" s="42">
        <f t="shared" si="4"/>
        <v>0</v>
      </c>
      <c r="Z64" s="42"/>
      <c r="AA64" s="42"/>
      <c r="AB64" s="40"/>
      <c r="AC64" s="40"/>
      <c r="AD64" s="42">
        <f t="shared" si="5"/>
        <v>0</v>
      </c>
      <c r="AE64" s="42">
        <f t="shared" si="6"/>
        <v>0</v>
      </c>
      <c r="AF64" s="42">
        <f>'Свод '!AH64+'Свод '!AZ64+'Свод '!BB64+'Свод '!CF64+'Свод '!DF64+'Свод '!DJ64+'Свод '!DP64+'Свод '!FB64+'Свод '!FH64+'Свод '!HD64+'Свод '!HP64+'Свод '!HX64+Лист1!R64+Лист1!AD64+X64</f>
        <v>4393.85</v>
      </c>
      <c r="AG64" s="42">
        <f>'Свод '!AI64+'Свод '!BA64+'Свод '!BC64+'Свод '!CG64+'Свод '!DG64+'Свод '!DK64+'Свод '!DQ64+'Свод '!FC64+'Свод '!FI64+'Свод '!HE64+'Свод '!HQ64+'Свод '!HY64+Лист1!S64+Лист1!AE64+Y64</f>
        <v>4390.206340000001</v>
      </c>
      <c r="AH64" s="42">
        <f>'Свод '!B64+'Свод '!D64+'Свод '!F64+'Свод '!H64</f>
        <v>2026</v>
      </c>
      <c r="AI64" s="42">
        <f>'Свод '!C64+'Свод '!E64+'Свод '!G64+'Свод '!I64</f>
        <v>2026</v>
      </c>
      <c r="AJ64" s="39">
        <f>'Свод '!AB64+'Свод '!AD64+'Свод '!AL64+'Свод '!AN64+'Свод '!AP64+'Свод '!BD64+'Свод '!BF64+'Свод '!BH64+'Свод '!BJ64+'Свод '!BL64+'Свод '!BN64+'Свод '!BP64+'Свод '!BR64+'Свод '!BT64+'Свод '!BV64+'Свод '!BX64+'Свод '!BZ64+'Свод '!CH64+'Свод '!CJ64+'Свод '!CL64+'Свод '!CN64+'Свод '!CP64+'Свод '!CR64+'Свод '!CT64+'Свод '!CV64+'Свод '!CX64+'Свод '!CZ64+'Свод '!DB64+'Свод '!DH64+'Свод '!DN64+'Свод '!DR64+'Свод '!DT64+'Свод '!DV64+'Свод '!DX64+'Свод '!DZ64+'Свод '!EB64+'Свод '!ED64+'Свод '!EF64+'Свод '!EH64+'Свод '!EJ64+'Свод '!EL64+'Свод '!FJ64+'Свод '!FL64+'Свод '!FN64+'Свод '!FP64+'Свод '!FR64+'Свод '!FT64+'Свод '!FV64+'Свод '!FX64+'Свод '!FZ64+'Свод '!GB64+'Свод '!GD64+'Свод '!GF64+'Свод '!GH64+'Свод '!HF64+'Свод '!HH64+'Свод '!HJ64+'Свод '!HL64+'Свод '!HN64+'Свод '!HR64+Лист1!B64+Лист1!D64+Лист1!F64+Лист1!H64+Лист1!J64+Лист1!L64+Лист1!N64+Лист1!P64+'Свод '!DL64</f>
        <v>1988.7</v>
      </c>
      <c r="AK64" s="39">
        <f>'Свод '!AC64+'Свод '!AE64+'Свод '!AM64+'Свод '!AO64+'Свод '!AQ64+'Свод '!BE64+'Свод '!BG64+'Свод '!BI64+'Свод '!BK64+'Свод '!BM64+'Свод '!BO64+'Свод '!BQ64+'Свод '!BS64+'Свод '!BU64+'Свод '!BW64+'Свод '!BY64+'Свод '!CA64+'Свод '!CI64+'Свод '!CK64+'Свод '!CM64+'Свод '!CO64+'Свод '!CQ64+'Свод '!CS64+'Свод '!CU64+'Свод '!CW64+'Свод '!CY64+'Свод '!DA64+'Свод '!DC64+'Свод '!DI64+'Свод '!DO64+'Свод '!DS64+'Свод '!DU64+'Свод '!DW64+'Свод '!DY64+'Свод '!EA64+'Свод '!EC64+'Свод '!EE64+'Свод '!EG64+'Свод '!EI64+'Свод '!EK64+'Свод '!EM64+'Свод '!FK64+'Свод '!FM64+'Свод '!FO64+'Свод '!FQ64+'Свод '!FS64+'Свод '!FU64+'Свод '!FW64+'Свод '!FY64+'Свод '!GA64+'Свод '!GC64+'Свод '!GE64+'Свод '!GG64+'Свод '!GI64+'Свод '!HG64+'Свод '!HI64+'Свод '!HK64+'Свод '!HM64+'Свод '!HO64+'Свод '!HS64+Лист1!C64+Лист1!E64+Лист1!G64+Лист1!I64+Лист1!K64+Лист1!M64+Лист1!O64+Лист1!Q64+'Свод '!DM64</f>
        <v>1985.05634</v>
      </c>
      <c r="AL64" s="144">
        <f>'Свод '!AF64+'Свод '!AJ64+'Свод '!BB64+'Свод '!CB64+'Свод '!CD64+'Свод '!EN64+'Свод '!FD64+'Свод '!FF64+'Свод '!GJ64+'Свод '!GL64+'Свод '!GN64+'Свод '!GP64+'Свод '!GR64+'Свод '!GT64+'Свод '!GV64+'Свод '!GX64+'Свод '!HT64+'Свод '!HV64</f>
        <v>147</v>
      </c>
      <c r="AM64" s="42">
        <f>'Свод '!AG64+'Свод '!AK64+'Свод '!BC64+'Свод '!CC64+'Свод '!CE64+'Свод '!EO64+'Свод '!FE64+'Свод '!FG64+'Свод '!GK64+'Свод '!GM64+'Свод '!GO64+'Свод '!GQ64+'Свод '!GS64+'Свод '!GU64+'Свод '!GW64+'Свод '!GY64+'Свод '!HU64+'Свод '!HW64</f>
        <v>147</v>
      </c>
      <c r="AN64" s="42">
        <f>'Свод '!J64+'Свод '!L64+'Свод '!N64+'Свод '!P64+'Свод '!R64+'Свод '!T64+'Свод '!V64+'Свод '!X64+'Свод '!Z64+'Свод '!AR64+'Свод '!AT64+'Свод '!AV64+'Свод '!AX64+'Свод '!DD64+'Свод '!EP64+'Свод '!ER64+'Свод '!ET64+'Свод '!EV64+'Свод '!EX64+'Свод '!EZ64+'Свод '!GZ64+'Свод '!HB64+T64+V64+Z64+AB64</f>
        <v>232.15</v>
      </c>
      <c r="AO64" s="42">
        <f>'Свод '!K64+'Свод '!M64+'Свод '!O64+'Свод '!Q64+'Свод '!S64+'Свод '!U64+'Свод '!W64+'Свод '!Y64+'Свод '!AA64+'Свод '!AS64+'Свод '!AU64+'Свод '!AW64+'Свод '!AY64+'Свод '!DE64+'Свод '!EQ64+'Свод '!ES64+'Свод '!EU64+'Свод '!EW64+'Свод '!EY64+'Свод '!FA64+'Свод '!HA64+'Свод '!HC64+U64+W64+AA64+AC64</f>
        <v>232.15</v>
      </c>
    </row>
    <row r="65" spans="1:41" ht="12.75">
      <c r="A65" s="109" t="s">
        <v>241</v>
      </c>
      <c r="B65" s="104"/>
      <c r="C65" s="42"/>
      <c r="D65" s="40"/>
      <c r="E65" s="40"/>
      <c r="F65" s="43"/>
      <c r="G65" s="46"/>
      <c r="H65" s="40"/>
      <c r="I65" s="40"/>
      <c r="J65" s="110"/>
      <c r="K65" s="42"/>
      <c r="L65" s="40"/>
      <c r="M65" s="40"/>
      <c r="N65" s="40"/>
      <c r="O65" s="40"/>
      <c r="P65" s="40"/>
      <c r="Q65" s="40"/>
      <c r="R65" s="42">
        <f t="shared" si="1"/>
        <v>0</v>
      </c>
      <c r="S65" s="42">
        <f t="shared" si="2"/>
        <v>0</v>
      </c>
      <c r="T65" s="42"/>
      <c r="U65" s="42"/>
      <c r="V65" s="40"/>
      <c r="W65" s="40"/>
      <c r="X65" s="42">
        <f t="shared" si="3"/>
        <v>0</v>
      </c>
      <c r="Y65" s="42">
        <f t="shared" si="4"/>
        <v>0</v>
      </c>
      <c r="Z65" s="42"/>
      <c r="AA65" s="42"/>
      <c r="AB65" s="40"/>
      <c r="AC65" s="40"/>
      <c r="AD65" s="42">
        <f t="shared" si="5"/>
        <v>0</v>
      </c>
      <c r="AE65" s="42">
        <f t="shared" si="6"/>
        <v>0</v>
      </c>
      <c r="AF65" s="42">
        <f>'Свод '!AH65+'Свод '!AZ65+'Свод '!BB65+'Свод '!CF65+'Свод '!DF65+'Свод '!DJ65+'Свод '!DP65+'Свод '!FB65+'Свод '!FH65+'Свод '!HD65+'Свод '!HP65+'Свод '!HX65+Лист1!R65+Лист1!AD65+X65</f>
        <v>19289.980999999996</v>
      </c>
      <c r="AG65" s="42">
        <f>'Свод '!AI65+'Свод '!BA65+'Свод '!BC65+'Свод '!CG65+'Свод '!DG65+'Свод '!DK65+'Свод '!DQ65+'Свод '!FC65+'Свод '!FI65+'Свод '!HE65+'Свод '!HQ65+'Свод '!HY65+Лист1!S65+Лист1!AE65+Y65</f>
        <v>9363.471</v>
      </c>
      <c r="AH65" s="42">
        <f>'Свод '!B65+'Свод '!D65+'Свод '!F65+'Свод '!H65</f>
        <v>3641.9999999999995</v>
      </c>
      <c r="AI65" s="42">
        <f>'Свод '!C65+'Свод '!E65+'Свод '!G65+'Свод '!I65</f>
        <v>3641.9999999999995</v>
      </c>
      <c r="AJ65" s="39">
        <f>'Свод '!AB65+'Свод '!AD65+'Свод '!AL65+'Свод '!AN65+'Свод '!AP65+'Свод '!BD65+'Свод '!BF65+'Свод '!BH65+'Свод '!BJ65+'Свод '!BL65+'Свод '!BN65+'Свод '!BP65+'Свод '!BR65+'Свод '!BT65+'Свод '!BV65+'Свод '!BX65+'Свод '!BZ65+'Свод '!CH65+'Свод '!CJ65+'Свод '!CL65+'Свод '!CN65+'Свод '!CP65+'Свод '!CR65+'Свод '!CT65+'Свод '!CV65+'Свод '!CX65+'Свод '!CZ65+'Свод '!DB65+'Свод '!DH65+'Свод '!DN65+'Свод '!DR65+'Свод '!DT65+'Свод '!DV65+'Свод '!DX65+'Свод '!DZ65+'Свод '!EB65+'Свод '!ED65+'Свод '!EF65+'Свод '!EH65+'Свод '!EJ65+'Свод '!EL65+'Свод '!FJ65+'Свод '!FL65+'Свод '!FN65+'Свод '!FP65+'Свод '!FR65+'Свод '!FT65+'Свод '!FV65+'Свод '!FX65+'Свод '!FZ65+'Свод '!GB65+'Свод '!GD65+'Свод '!GF65+'Свод '!GH65+'Свод '!HF65+'Свод '!HH65+'Свод '!HJ65+'Свод '!HL65+'Свод '!HN65+'Свод '!HR65+Лист1!B65+Лист1!D65+Лист1!F65+Лист1!H65+Лист1!J65+Лист1!L65+Лист1!N65+Лист1!P65+'Свод '!DL65</f>
        <v>15276.581</v>
      </c>
      <c r="AK65" s="39">
        <f>'Свод '!AC65+'Свод '!AE65+'Свод '!AM65+'Свод '!AO65+'Свод '!AQ65+'Свод '!BE65+'Свод '!BG65+'Свод '!BI65+'Свод '!BK65+'Свод '!BM65+'Свод '!BO65+'Свод '!BQ65+'Свод '!BS65+'Свод '!BU65+'Свод '!BW65+'Свод '!BY65+'Свод '!CA65+'Свод '!CI65+'Свод '!CK65+'Свод '!CM65+'Свод '!CO65+'Свод '!CQ65+'Свод '!CS65+'Свод '!CU65+'Свод '!CW65+'Свод '!CY65+'Свод '!DA65+'Свод '!DC65+'Свод '!DI65+'Свод '!DO65+'Свод '!DS65+'Свод '!DU65+'Свод '!DW65+'Свод '!DY65+'Свод '!EA65+'Свод '!EC65+'Свод '!EE65+'Свод '!EG65+'Свод '!EI65+'Свод '!EK65+'Свод '!EM65+'Свод '!FK65+'Свод '!FM65+'Свод '!FO65+'Свод '!FQ65+'Свод '!FS65+'Свод '!FU65+'Свод '!FW65+'Свод '!FY65+'Свод '!GA65+'Свод '!GC65+'Свод '!GE65+'Свод '!GG65+'Свод '!GI65+'Свод '!HG65+'Свод '!HI65+'Свод '!HK65+'Свод '!HM65+'Свод '!HO65+'Свод '!HS65+Лист1!C65+Лист1!E65+Лист1!G65+Лист1!I65+Лист1!K65+Лист1!M65+Лист1!O65+Лист1!Q65+'Свод '!DM65</f>
        <v>5350.071</v>
      </c>
      <c r="AL65" s="144">
        <f>'Свод '!AF65+'Свод '!AJ65+'Свод '!BB65+'Свод '!CB65+'Свод '!CD65+'Свод '!EN65+'Свод '!FD65+'Свод '!FF65+'Свод '!GJ65+'Свод '!GL65+'Свод '!GN65+'Свод '!GP65+'Свод '!GR65+'Свод '!GT65+'Свод '!GV65+'Свод '!GX65+'Свод '!HT65+'Свод '!HV65</f>
        <v>147</v>
      </c>
      <c r="AM65" s="42">
        <f>'Свод '!AG65+'Свод '!AK65+'Свод '!BC65+'Свод '!CC65+'Свод '!CE65+'Свод '!EO65+'Свод '!FE65+'Свод '!FG65+'Свод '!GK65+'Свод '!GM65+'Свод '!GO65+'Свод '!GQ65+'Свод '!GS65+'Свод '!GU65+'Свод '!GW65+'Свод '!GY65+'Свод '!HU65+'Свод '!HW65</f>
        <v>147</v>
      </c>
      <c r="AN65" s="42">
        <f>'Свод '!J65+'Свод '!L65+'Свод '!N65+'Свод '!P65+'Свод '!R65+'Свод '!T65+'Свод '!V65+'Свод '!X65+'Свод '!Z65+'Свод '!AR65+'Свод '!AT65+'Свод '!AV65+'Свод '!AX65+'Свод '!DD65+'Свод '!EP65+'Свод '!ER65+'Свод '!ET65+'Свод '!EV65+'Свод '!EX65+'Свод '!EZ65+'Свод '!GZ65+'Свод '!HB65+T65+V65+Z65+AB65</f>
        <v>224.4</v>
      </c>
      <c r="AO65" s="42">
        <f>'Свод '!K65+'Свод '!M65+'Свод '!O65+'Свод '!Q65+'Свод '!S65+'Свод '!U65+'Свод '!W65+'Свод '!Y65+'Свод '!AA65+'Свод '!AS65+'Свод '!AU65+'Свод '!AW65+'Свод '!AY65+'Свод '!DE65+'Свод '!EQ65+'Свод '!ES65+'Свод '!EU65+'Свод '!EW65+'Свод '!EY65+'Свод '!FA65+'Свод '!HA65+'Свод '!HC65+U65+W65+AA65+AC65</f>
        <v>224.4</v>
      </c>
    </row>
    <row r="66" spans="1:41" ht="12.75" customHeight="1">
      <c r="A66" s="109" t="s">
        <v>242</v>
      </c>
      <c r="B66" s="104"/>
      <c r="C66" s="42"/>
      <c r="D66" s="40"/>
      <c r="E66" s="40"/>
      <c r="F66" s="43"/>
      <c r="G66" s="46"/>
      <c r="H66" s="40"/>
      <c r="I66" s="40"/>
      <c r="J66" s="110"/>
      <c r="K66" s="42"/>
      <c r="L66" s="40"/>
      <c r="M66" s="40"/>
      <c r="N66" s="40"/>
      <c r="O66" s="40"/>
      <c r="P66" s="40"/>
      <c r="Q66" s="40"/>
      <c r="R66" s="42">
        <f t="shared" si="1"/>
        <v>0</v>
      </c>
      <c r="S66" s="42">
        <f t="shared" si="2"/>
        <v>0</v>
      </c>
      <c r="T66" s="42"/>
      <c r="U66" s="42"/>
      <c r="V66" s="40"/>
      <c r="W66" s="40"/>
      <c r="X66" s="42">
        <f t="shared" si="3"/>
        <v>0</v>
      </c>
      <c r="Y66" s="42">
        <f t="shared" si="4"/>
        <v>0</v>
      </c>
      <c r="Z66" s="42"/>
      <c r="AA66" s="42"/>
      <c r="AB66" s="40"/>
      <c r="AC66" s="40"/>
      <c r="AD66" s="42">
        <f t="shared" si="5"/>
        <v>0</v>
      </c>
      <c r="AE66" s="42">
        <f t="shared" si="6"/>
        <v>0</v>
      </c>
      <c r="AF66" s="42">
        <f>'Свод '!AH66+'Свод '!AZ66+'Свод '!BB66+'Свод '!CF66+'Свод '!DF66+'Свод '!DJ66+'Свод '!DP66+'Свод '!FB66+'Свод '!FH66+'Свод '!HD66+'Свод '!HP66+'Свод '!HX66+Лист1!R66+Лист1!AD66+X66</f>
        <v>1859.51442</v>
      </c>
      <c r="AG66" s="42">
        <f>'Свод '!AI66+'Свод '!BA66+'Свод '!BC66+'Свод '!CG66+'Свод '!DG66+'Свод '!DK66+'Свод '!DQ66+'Свод '!FC66+'Свод '!FI66+'Свод '!HE66+'Свод '!HQ66+'Свод '!HY66+Лист1!S66+Лист1!AE66+Y66</f>
        <v>1812.38742</v>
      </c>
      <c r="AH66" s="42">
        <f>'Свод '!B66+'Свод '!D66+'Свод '!F66+'Свод '!H66</f>
        <v>1570</v>
      </c>
      <c r="AI66" s="42">
        <f>'Свод '!C66+'Свод '!E66+'Свод '!G66+'Свод '!I66</f>
        <v>1570</v>
      </c>
      <c r="AJ66" s="39">
        <f>'Свод '!AB66+'Свод '!AD66+'Свод '!AL66+'Свод '!AN66+'Свод '!AP66+'Свод '!BD66+'Свод '!BF66+'Свод '!BH66+'Свод '!BJ66+'Свод '!BL66+'Свод '!BN66+'Свод '!BP66+'Свод '!BR66+'Свод '!BT66+'Свод '!BV66+'Свод '!BX66+'Свод '!BZ66+'Свод '!CH66+'Свод '!CJ66+'Свод '!CL66+'Свод '!CN66+'Свод '!CP66+'Свод '!CR66+'Свод '!CT66+'Свод '!CV66+'Свод '!CX66+'Свод '!CZ66+'Свод '!DB66+'Свод '!DH66+'Свод '!DN66+'Свод '!DR66+'Свод '!DT66+'Свод '!DV66+'Свод '!DX66+'Свод '!DZ66+'Свод '!EB66+'Свод '!ED66+'Свод '!EF66+'Свод '!EH66+'Свод '!EJ66+'Свод '!EL66+'Свод '!FJ66+'Свод '!FL66+'Свод '!FN66+'Свод '!FP66+'Свод '!FR66+'Свод '!FT66+'Свод '!FV66+'Свод '!FX66+'Свод '!FZ66+'Свод '!GB66+'Свод '!GD66+'Свод '!GF66+'Свод '!GH66+'Свод '!HF66+'Свод '!HH66+'Свод '!HJ66+'Свод '!HL66+'Свод '!HN66+'Свод '!HR66+Лист1!B66+Лист1!D66+Лист1!F66+Лист1!H66+Лист1!J66+Лист1!L66+Лист1!N66+Лист1!P66+'Свод '!DL66</f>
        <v>216.26</v>
      </c>
      <c r="AK66" s="39">
        <f>'Свод '!AC66+'Свод '!AE66+'Свод '!AM66+'Свод '!AO66+'Свод '!AQ66+'Свод '!BE66+'Свод '!BG66+'Свод '!BI66+'Свод '!BK66+'Свод '!BM66+'Свод '!BO66+'Свод '!BQ66+'Свод '!BS66+'Свод '!BU66+'Свод '!BW66+'Свод '!BY66+'Свод '!CA66+'Свод '!CI66+'Свод '!CK66+'Свод '!CM66+'Свод '!CO66+'Свод '!CQ66+'Свод '!CS66+'Свод '!CU66+'Свод '!CW66+'Свод '!CY66+'Свод '!DA66+'Свод '!DC66+'Свод '!DI66+'Свод '!DO66+'Свод '!DS66+'Свод '!DU66+'Свод '!DW66+'Свод '!DY66+'Свод '!EA66+'Свод '!EC66+'Свод '!EE66+'Свод '!EG66+'Свод '!EI66+'Свод '!EK66+'Свод '!EM66+'Свод '!FK66+'Свод '!FM66+'Свод '!FO66+'Свод '!FQ66+'Свод '!FS66+'Свод '!FU66+'Свод '!FW66+'Свод '!FY66+'Свод '!GA66+'Свод '!GC66+'Свод '!GE66+'Свод '!GG66+'Свод '!GI66+'Свод '!HG66+'Свод '!HI66+'Свод '!HK66+'Свод '!HM66+'Свод '!HO66+'Свод '!HS66+Лист1!C66+Лист1!E66+Лист1!G66+Лист1!I66+Лист1!K66+Лист1!M66+Лист1!O66+Лист1!Q66+'Свод '!DM66</f>
        <v>169.133</v>
      </c>
      <c r="AL66" s="144">
        <f>'Свод '!AF66+'Свод '!AJ66+'Свод '!BB66+'Свод '!CB66+'Свод '!CD66+'Свод '!EN66+'Свод '!FD66+'Свод '!FF66+'Свод '!GJ66+'Свод '!GL66+'Свод '!GN66+'Свод '!GP66+'Свод '!GR66+'Свод '!GT66+'Свод '!GV66+'Свод '!GX66+'Свод '!HT66+'Свод '!HV66</f>
        <v>73</v>
      </c>
      <c r="AM66" s="42">
        <f>'Свод '!AG66+'Свод '!AK66+'Свод '!BC66+'Свод '!CC66+'Свод '!CE66+'Свод '!EO66+'Свод '!FE66+'Свод '!FG66+'Свод '!GK66+'Свод '!GM66+'Свод '!GO66+'Свод '!GQ66+'Свод '!GS66+'Свод '!GU66+'Свод '!GW66+'Свод '!GY66+'Свод '!HU66+'Свод '!HW66</f>
        <v>73</v>
      </c>
      <c r="AN66" s="42">
        <f>'Свод '!J66+'Свод '!L66+'Свод '!N66+'Свод '!P66+'Свод '!R66+'Свод '!T66+'Свод '!V66+'Свод '!X66+'Свод '!Z66+'Свод '!AR66+'Свод '!AT66+'Свод '!AV66+'Свод '!AX66+'Свод '!DD66+'Свод '!EP66+'Свод '!ER66+'Свод '!ET66+'Свод '!EV66+'Свод '!EX66+'Свод '!EZ66+'Свод '!GZ66+'Свод '!HB66+T66+V66+Z66+AB66</f>
        <v>0.25442</v>
      </c>
      <c r="AO66" s="42">
        <f>'Свод '!K66+'Свод '!M66+'Свод '!O66+'Свод '!Q66+'Свод '!S66+'Свод '!U66+'Свод '!W66+'Свод '!Y66+'Свод '!AA66+'Свод '!AS66+'Свод '!AU66+'Свод '!AW66+'Свод '!AY66+'Свод '!DE66+'Свод '!EQ66+'Свод '!ES66+'Свод '!EU66+'Свод '!EW66+'Свод '!EY66+'Свод '!FA66+'Свод '!HA66+'Свод '!HC66+U66+W66+AA66+AC66</f>
        <v>0.25442</v>
      </c>
    </row>
    <row r="67" spans="1:41" ht="12.75">
      <c r="A67" s="109" t="s">
        <v>243</v>
      </c>
      <c r="B67" s="104"/>
      <c r="C67" s="42"/>
      <c r="D67" s="40"/>
      <c r="E67" s="40"/>
      <c r="F67" s="43"/>
      <c r="G67" s="46"/>
      <c r="H67" s="40"/>
      <c r="I67" s="40"/>
      <c r="J67" s="110"/>
      <c r="K67" s="42"/>
      <c r="L67" s="40"/>
      <c r="M67" s="40"/>
      <c r="N67" s="40"/>
      <c r="O67" s="40"/>
      <c r="P67" s="40"/>
      <c r="Q67" s="40"/>
      <c r="R67" s="42">
        <f t="shared" si="1"/>
        <v>0</v>
      </c>
      <c r="S67" s="42">
        <f t="shared" si="2"/>
        <v>0</v>
      </c>
      <c r="T67" s="42"/>
      <c r="U67" s="42"/>
      <c r="V67" s="40"/>
      <c r="W67" s="40"/>
      <c r="X67" s="42">
        <f t="shared" si="3"/>
        <v>0</v>
      </c>
      <c r="Y67" s="42">
        <f t="shared" si="4"/>
        <v>0</v>
      </c>
      <c r="Z67" s="42"/>
      <c r="AA67" s="42"/>
      <c r="AB67" s="40"/>
      <c r="AC67" s="40"/>
      <c r="AD67" s="42">
        <f t="shared" si="5"/>
        <v>0</v>
      </c>
      <c r="AE67" s="42">
        <f t="shared" si="6"/>
        <v>0</v>
      </c>
      <c r="AF67" s="42">
        <f>'Свод '!AH67+'Свод '!AZ67+'Свод '!BB67+'Свод '!CF67+'Свод '!DF67+'Свод '!DJ67+'Свод '!DP67+'Свод '!FB67+'Свод '!FH67+'Свод '!HD67+'Свод '!HP67+'Свод '!HX67+Лист1!R67+Лист1!AD67+X67</f>
        <v>5028.098910000001</v>
      </c>
      <c r="AG67" s="42">
        <f>'Свод '!AI67+'Свод '!BA67+'Свод '!BC67+'Свод '!CG67+'Свод '!DG67+'Свод '!DK67+'Свод '!DQ67+'Свод '!FC67+'Свод '!FI67+'Свод '!HE67+'Свод '!HQ67+'Свод '!HY67+Лист1!S67+Лист1!AE67+Y67</f>
        <v>4913.31389</v>
      </c>
      <c r="AH67" s="42">
        <f>'Свод '!B67+'Свод '!D67+'Свод '!F67+'Свод '!H67</f>
        <v>2052</v>
      </c>
      <c r="AI67" s="42">
        <f>'Свод '!C67+'Свод '!E67+'Свод '!G67+'Свод '!I67</f>
        <v>2052</v>
      </c>
      <c r="AJ67" s="39">
        <f>'Свод '!AB67+'Свод '!AD67+'Свод '!AL67+'Свод '!AN67+'Свод '!AP67+'Свод '!BD67+'Свод '!BF67+'Свод '!BH67+'Свод '!BJ67+'Свод '!BL67+'Свод '!BN67+'Свод '!BP67+'Свод '!BR67+'Свод '!BT67+'Свод '!BV67+'Свод '!BX67+'Свод '!BZ67+'Свод '!CH67+'Свод '!CJ67+'Свод '!CL67+'Свод '!CN67+'Свод '!CP67+'Свод '!CR67+'Свод '!CT67+'Свод '!CV67+'Свод '!CX67+'Свод '!CZ67+'Свод '!DB67+'Свод '!DH67+'Свод '!DN67+'Свод '!DR67+'Свод '!DT67+'Свод '!DV67+'Свод '!DX67+'Свод '!DZ67+'Свод '!EB67+'Свод '!ED67+'Свод '!EF67+'Свод '!EH67+'Свод '!EJ67+'Свод '!EL67+'Свод '!FJ67+'Свод '!FL67+'Свод '!FN67+'Свод '!FP67+'Свод '!FR67+'Свод '!FT67+'Свод '!FV67+'Свод '!FX67+'Свод '!FZ67+'Свод '!GB67+'Свод '!GD67+'Свод '!GF67+'Свод '!GH67+'Свод '!HF67+'Свод '!HH67+'Свод '!HJ67+'Свод '!HL67+'Свод '!HN67+'Свод '!HR67+Лист1!B67+Лист1!D67+Лист1!F67+Лист1!H67+Лист1!J67+Лист1!L67+Лист1!N67+Лист1!P67+'Свод '!DL67</f>
        <v>1582.15</v>
      </c>
      <c r="AK67" s="39">
        <f>'Свод '!AC67+'Свод '!AE67+'Свод '!AM67+'Свод '!AO67+'Свод '!AQ67+'Свод '!BE67+'Свод '!BG67+'Свод '!BI67+'Свод '!BK67+'Свод '!BM67+'Свод '!BO67+'Свод '!BQ67+'Свод '!BS67+'Свод '!BU67+'Свод '!BW67+'Свод '!BY67+'Свод '!CA67+'Свод '!CI67+'Свод '!CK67+'Свод '!CM67+'Свод '!CO67+'Свод '!CQ67+'Свод '!CS67+'Свод '!CU67+'Свод '!CW67+'Свод '!CY67+'Свод '!DA67+'Свод '!DC67+'Свод '!DI67+'Свод '!DO67+'Свод '!DS67+'Свод '!DU67+'Свод '!DW67+'Свод '!DY67+'Свод '!EA67+'Свод '!EC67+'Свод '!EE67+'Свод '!EG67+'Свод '!EI67+'Свод '!EK67+'Свод '!EM67+'Свод '!FK67+'Свод '!FM67+'Свод '!FO67+'Свод '!FQ67+'Свод '!FS67+'Свод '!FU67+'Свод '!FW67+'Свод '!FY67+'Свод '!GA67+'Свод '!GC67+'Свод '!GE67+'Свод '!GG67+'Свод '!GI67+'Свод '!HG67+'Свод '!HI67+'Свод '!HK67+'Свод '!HM67+'Свод '!HO67+'Свод '!HS67+Лист1!C67+Лист1!E67+Лист1!G67+Лист1!I67+Лист1!K67+Лист1!M67+Лист1!O67+Лист1!Q67+'Свод '!DM67</f>
        <v>1469.74058</v>
      </c>
      <c r="AL67" s="144">
        <f>'Свод '!AF67+'Свод '!AJ67+'Свод '!BB67+'Свод '!CB67+'Свод '!CD67+'Свод '!EN67+'Свод '!FD67+'Свод '!FF67+'Свод '!GJ67+'Свод '!GL67+'Свод '!GN67+'Свод '!GP67+'Свод '!GR67+'Свод '!GT67+'Свод '!GV67+'Свод '!GX67+'Свод '!HT67+'Свод '!HV67</f>
        <v>147</v>
      </c>
      <c r="AM67" s="42">
        <f>'Свод '!AG67+'Свод '!AK67+'Свод '!BC67+'Свод '!CC67+'Свод '!CE67+'Свод '!EO67+'Свод '!FE67+'Свод '!FG67+'Свод '!GK67+'Свод '!GM67+'Свод '!GO67+'Свод '!GQ67+'Свод '!GS67+'Свод '!GU67+'Свод '!GW67+'Свод '!GY67+'Свод '!HU67+'Свод '!HW67</f>
        <v>147</v>
      </c>
      <c r="AN67" s="42">
        <f>'Свод '!J67+'Свод '!L67+'Свод '!N67+'Свод '!P67+'Свод '!R67+'Свод '!T67+'Свод '!V67+'Свод '!X67+'Свод '!Z67+'Свод '!AR67+'Свод '!AT67+'Свод '!AV67+'Свод '!AX67+'Свод '!DD67+'Свод '!EP67+'Свод '!ER67+'Свод '!ET67+'Свод '!EV67+'Свод '!EX67+'Свод '!EZ67+'Свод '!GZ67+'Свод '!HB67+T67+V67+Z67+AB67</f>
        <v>1246.94891</v>
      </c>
      <c r="AO67" s="42">
        <f>'Свод '!K67+'Свод '!M67+'Свод '!O67+'Свод '!Q67+'Свод '!S67+'Свод '!U67+'Свод '!W67+'Свод '!Y67+'Свод '!AA67+'Свод '!AS67+'Свод '!AU67+'Свод '!AW67+'Свод '!AY67+'Свод '!DE67+'Свод '!EQ67+'Свод '!ES67+'Свод '!EU67+'Свод '!EW67+'Свод '!EY67+'Свод '!FA67+'Свод '!HA67+'Свод '!HC67+U67+W67+AA67+AC67</f>
        <v>1244.57331</v>
      </c>
    </row>
    <row r="68" spans="1:41" ht="20.25" customHeight="1">
      <c r="A68" s="108" t="s">
        <v>134</v>
      </c>
      <c r="B68" s="104">
        <v>760</v>
      </c>
      <c r="C68" s="42">
        <v>628.4353</v>
      </c>
      <c r="D68" s="40">
        <f>SUM(D69:D74)</f>
        <v>0</v>
      </c>
      <c r="E68" s="40">
        <f>SUM(E69:E74)</f>
        <v>0</v>
      </c>
      <c r="F68" s="43">
        <v>1575</v>
      </c>
      <c r="G68" s="46">
        <v>1569.79674</v>
      </c>
      <c r="H68" s="40">
        <f>SUM(H69:H74)</f>
        <v>0</v>
      </c>
      <c r="I68" s="40">
        <f>SUM(I69:I74)</f>
        <v>0</v>
      </c>
      <c r="J68" s="40">
        <f aca="true" t="shared" si="7" ref="J68:AC68">SUM(J69:J74)</f>
        <v>0</v>
      </c>
      <c r="K68" s="40">
        <f t="shared" si="7"/>
        <v>0</v>
      </c>
      <c r="L68" s="40">
        <f t="shared" si="7"/>
        <v>4200</v>
      </c>
      <c r="M68" s="40">
        <f t="shared" si="7"/>
        <v>4179.895</v>
      </c>
      <c r="N68" s="40">
        <f t="shared" si="7"/>
        <v>2100</v>
      </c>
      <c r="O68" s="40">
        <f t="shared" si="7"/>
        <v>2100</v>
      </c>
      <c r="P68" s="40">
        <f t="shared" si="7"/>
        <v>0</v>
      </c>
      <c r="Q68" s="40">
        <f t="shared" si="7"/>
        <v>0</v>
      </c>
      <c r="R68" s="40">
        <f t="shared" si="7"/>
        <v>8635</v>
      </c>
      <c r="S68" s="40">
        <f t="shared" si="7"/>
        <v>8478.127040000001</v>
      </c>
      <c r="T68" s="40">
        <f t="shared" si="7"/>
        <v>0</v>
      </c>
      <c r="U68" s="40">
        <f t="shared" si="7"/>
        <v>0</v>
      </c>
      <c r="V68" s="40">
        <f t="shared" si="7"/>
        <v>0</v>
      </c>
      <c r="W68" s="40">
        <f t="shared" si="7"/>
        <v>0</v>
      </c>
      <c r="X68" s="40">
        <f t="shared" si="7"/>
        <v>0</v>
      </c>
      <c r="Y68" s="40">
        <f t="shared" si="7"/>
        <v>0</v>
      </c>
      <c r="Z68" s="40">
        <f t="shared" si="7"/>
        <v>0</v>
      </c>
      <c r="AA68" s="40">
        <f t="shared" si="7"/>
        <v>0</v>
      </c>
      <c r="AB68" s="40">
        <f t="shared" si="7"/>
        <v>0</v>
      </c>
      <c r="AC68" s="40">
        <f t="shared" si="7"/>
        <v>0</v>
      </c>
      <c r="AD68" s="42">
        <f t="shared" si="5"/>
        <v>0</v>
      </c>
      <c r="AE68" s="42">
        <f t="shared" si="6"/>
        <v>0</v>
      </c>
      <c r="AF68" s="42">
        <f>'Свод '!AH68+'Свод '!AZ68+'Свод '!BB68+'Свод '!CF68+'Свод '!DF68+'Свод '!DJ68+'Свод '!DP68+'Свод '!FB68+'Свод '!FH68+'Свод '!HD68+'Свод '!HP68+'Свод '!HX68+Лист1!R68+Лист1!AD68+X68</f>
        <v>373883.35163</v>
      </c>
      <c r="AG68" s="42">
        <f>'Свод '!AI68+'Свод '!BA68+'Свод '!BC68+'Свод '!CG68+'Свод '!DG68+'Свод '!DK68+'Свод '!DQ68+'Свод '!FC68+'Свод '!FI68+'Свод '!HE68+'Свод '!HQ68+'Свод '!HY68+Лист1!S68+Лист1!AE68+Y68</f>
        <v>373543.46468000003</v>
      </c>
      <c r="AH68" s="42">
        <f>'Свод '!B68+'Свод '!D68+'Свод '!F68+'Свод '!H68</f>
        <v>24901</v>
      </c>
      <c r="AI68" s="42">
        <f>'Свод '!C68+'Свод '!E68+'Свод '!G68+'Свод '!I68</f>
        <v>24901</v>
      </c>
      <c r="AJ68" s="39">
        <f>'Свод '!AB68+'Свод '!AD68+'Свод '!AL68+'Свод '!AN68+'Свод '!AP68+'Свод '!BD68+'Свод '!BF68+'Свод '!BH68+'Свод '!BJ68+'Свод '!BL68+'Свод '!BN68+'Свод '!BP68+'Свод '!BR68+'Свод '!BT68+'Свод '!BV68+'Свод '!BX68+'Свод '!BZ68+'Свод '!CH68+'Свод '!CJ68+'Свод '!CL68+'Свод '!CN68+'Свод '!CP68+'Свод '!CR68+'Свод '!CT68+'Свод '!CV68+'Свод '!CX68+'Свод '!CZ68+'Свод '!DB68+'Свод '!DH68+'Свод '!DN68+'Свод '!DR68+'Свод '!DT68+'Свод '!DV68+'Свод '!DX68+'Свод '!DZ68+'Свод '!EB68+'Свод '!ED68+'Свод '!EF68+'Свод '!EH68+'Свод '!EJ68+'Свод '!EL68+'Свод '!FJ68+'Свод '!FL68+'Свод '!FN68+'Свод '!FP68+'Свод '!FR68+'Свод '!FT68+'Свод '!FV68+'Свод '!FX68+'Свод '!FZ68+'Свод '!GB68+'Свод '!GD68+'Свод '!GF68+'Свод '!GH68+'Свод '!HF68+'Свод '!HH68+'Свод '!HJ68+'Свод '!HL68+'Свод '!HN68+'Свод '!HR68+Лист1!B68+Лист1!D68+Лист1!F68+Лист1!H68+Лист1!J68+Лист1!L68+Лист1!N68+Лист1!P68+'Свод '!DL68</f>
        <v>105856.07257</v>
      </c>
      <c r="AK68" s="39">
        <f>'Свод '!AC68+'Свод '!AE68+'Свод '!AM68+'Свод '!AO68+'Свод '!AQ68+'Свод '!BE68+'Свод '!BG68+'Свод '!BI68+'Свод '!BK68+'Свод '!BM68+'Свод '!BO68+'Свод '!BQ68+'Свод '!BS68+'Свод '!BU68+'Свод '!BW68+'Свод '!BY68+'Свод '!CA68+'Свод '!CI68+'Свод '!CK68+'Свод '!CM68+'Свод '!CO68+'Свод '!CQ68+'Свод '!CS68+'Свод '!CU68+'Свод '!CW68+'Свод '!CY68+'Свод '!DA68+'Свод '!DC68+'Свод '!DI68+'Свод '!DO68+'Свод '!DS68+'Свод '!DU68+'Свод '!DW68+'Свод '!DY68+'Свод '!EA68+'Свод '!EC68+'Свод '!EE68+'Свод '!EG68+'Свод '!EI68+'Свод '!EK68+'Свод '!EM68+'Свод '!FK68+'Свод '!FM68+'Свод '!FO68+'Свод '!FQ68+'Свод '!FS68+'Свод '!FU68+'Свод '!FW68+'Свод '!FY68+'Свод '!GA68+'Свод '!GC68+'Свод '!GE68+'Свод '!GG68+'Свод '!GI68+'Свод '!HG68+'Свод '!HI68+'Свод '!HK68+'Свод '!HM68+'Свод '!HO68+'Свод '!HS68+Лист1!C68+Лист1!E68+Лист1!G68+Лист1!I68+Лист1!K68+Лист1!M68+Лист1!O68+Лист1!Q68+'Свод '!DM68</f>
        <v>105608.82461</v>
      </c>
      <c r="AL68" s="144">
        <f>'Свод '!AF68+'Свод '!AJ68+'Свод '!BB68+'Свод '!CB68+'Свод '!CD68+'Свод '!EN68+'Свод '!FD68+'Свод '!FF68+'Свод '!GJ68+'Свод '!GL68+'Свод '!GN68+'Свод '!GP68+'Свод '!GR68+'Свод '!GT68+'Свод '!GV68+'Свод '!GX68+'Свод '!HT68+'Свод '!HV68</f>
        <v>229782.786</v>
      </c>
      <c r="AM68" s="42">
        <f>'Свод '!AG68+'Свод '!AK68+'Свод '!BC68+'Свод '!CC68+'Свод '!CE68+'Свод '!EO68+'Свод '!FE68+'Свод '!FG68+'Свод '!GK68+'Свод '!GM68+'Свод '!GO68+'Свод '!GQ68+'Свод '!GS68+'Свод '!GU68+'Свод '!GW68+'Свод '!GY68+'Свод '!HU68+'Свод '!HW68</f>
        <v>229692.98171999998</v>
      </c>
      <c r="AN68" s="42">
        <f>'Свод '!J68+'Свод '!L68+'Свод '!N68+'Свод '!P68+'Свод '!R68+'Свод '!T68+'Свод '!V68+'Свод '!X68+'Свод '!Z68+'Свод '!AR68+'Свод '!AT68+'Свод '!AV68+'Свод '!AX68+'Свод '!DD68+'Свод '!EP68+'Свод '!ER68+'Свод '!ET68+'Свод '!EV68+'Свод '!EX68+'Свод '!EZ68+'Свод '!GZ68+'Свод '!HB68+T68+V68+Z68+AB68</f>
        <v>13343.49306</v>
      </c>
      <c r="AO68" s="42">
        <f>'Свод '!K68+'Свод '!M68+'Свод '!O68+'Свод '!Q68+'Свод '!S68+'Свод '!U68+'Свод '!W68+'Свод '!Y68+'Свод '!AA68+'Свод '!AS68+'Свод '!AU68+'Свод '!AW68+'Свод '!AY68+'Свод '!DE68+'Свод '!EQ68+'Свод '!ES68+'Свод '!EU68+'Свод '!EW68+'Свод '!EY68+'Свод '!FA68+'Свод '!HA68+'Свод '!HC68+U68+W68+AA68+AC68</f>
        <v>13340.658350000002</v>
      </c>
    </row>
    <row r="69" spans="1:41" ht="12.75">
      <c r="A69" s="103" t="s">
        <v>156</v>
      </c>
      <c r="B69" s="104">
        <v>760</v>
      </c>
      <c r="C69" s="42">
        <v>628.4353</v>
      </c>
      <c r="D69" s="40"/>
      <c r="E69" s="40"/>
      <c r="F69" s="43">
        <v>18</v>
      </c>
      <c r="G69" s="42">
        <v>12.79674</v>
      </c>
      <c r="H69" s="40"/>
      <c r="I69" s="40"/>
      <c r="J69" s="105"/>
      <c r="K69" s="42"/>
      <c r="L69" s="40"/>
      <c r="M69" s="40"/>
      <c r="N69" s="40"/>
      <c r="O69" s="40"/>
      <c r="P69" s="40"/>
      <c r="Q69" s="40"/>
      <c r="R69" s="42">
        <f t="shared" si="1"/>
        <v>778</v>
      </c>
      <c r="S69" s="42">
        <f t="shared" si="2"/>
        <v>641.23204</v>
      </c>
      <c r="T69" s="42"/>
      <c r="U69" s="42"/>
      <c r="V69" s="40"/>
      <c r="W69" s="40"/>
      <c r="X69" s="42">
        <f t="shared" si="3"/>
        <v>0</v>
      </c>
      <c r="Y69" s="42">
        <f t="shared" si="4"/>
        <v>0</v>
      </c>
      <c r="Z69" s="42"/>
      <c r="AA69" s="42"/>
      <c r="AB69" s="40"/>
      <c r="AC69" s="40"/>
      <c r="AD69" s="42">
        <f t="shared" si="5"/>
        <v>0</v>
      </c>
      <c r="AE69" s="42">
        <f t="shared" si="6"/>
        <v>0</v>
      </c>
      <c r="AF69" s="42">
        <f>'Свод '!AH69+'Свод '!AZ69+'Свод '!BB69+'Свод '!CF69+'Свод '!DF69+'Свод '!DJ69+'Свод '!DP69+'Свод '!FB69+'Свод '!FH69+'Свод '!HD69+'Свод '!HP69+'Свод '!HX69+Лист1!R69+Лист1!AD69+X69</f>
        <v>298455.17100000003</v>
      </c>
      <c r="AG69" s="42">
        <f>'Свод '!AI69+'Свод '!BA69+'Свод '!BC69+'Свод '!CG69+'Свод '!DG69+'Свод '!DK69+'Свод '!DQ69+'Свод '!FC69+'Свод '!FI69+'Свод '!HE69+'Свод '!HQ69+'Свод '!HY69+Лист1!S69+Лист1!AE69+Y69</f>
        <v>298271.03804</v>
      </c>
      <c r="AH69" s="42">
        <f>'Свод '!B69+'Свод '!D69+'Свод '!F69+'Свод '!H69</f>
        <v>9602</v>
      </c>
      <c r="AI69" s="42">
        <f>'Свод '!C69+'Свод '!E69+'Свод '!G69+'Свод '!I69</f>
        <v>9602</v>
      </c>
      <c r="AJ69" s="39">
        <f>'Свод '!AB69+'Свод '!AD69+'Свод '!AL69+'Свод '!AN69+'Свод '!AP69+'Свод '!BD69+'Свод '!BF69+'Свод '!BH69+'Свод '!BJ69+'Свод '!BL69+'Свод '!BN69+'Свод '!BP69+'Свод '!BR69+'Свод '!BT69+'Свод '!BV69+'Свод '!BX69+'Свод '!BZ69+'Свод '!CH69+'Свод '!CJ69+'Свод '!CL69+'Свод '!CN69+'Свод '!CP69+'Свод '!CR69+'Свод '!CT69+'Свод '!CV69+'Свод '!CX69+'Свод '!CZ69+'Свод '!DB69+'Свод '!DH69+'Свод '!DN69+'Свод '!DR69+'Свод '!DT69+'Свод '!DV69+'Свод '!DX69+'Свод '!DZ69+'Свод '!EB69+'Свод '!ED69+'Свод '!EF69+'Свод '!EH69+'Свод '!EJ69+'Свод '!EL69+'Свод '!FJ69+'Свод '!FL69+'Свод '!FN69+'Свод '!FP69+'Свод '!FR69+'Свод '!FT69+'Свод '!FV69+'Свод '!FX69+'Свод '!FZ69+'Свод '!GB69+'Свод '!GD69+'Свод '!GF69+'Свод '!GH69+'Свод '!HF69+'Свод '!HH69+'Свод '!HJ69+'Свод '!HL69+'Свод '!HN69+'Свод '!HR69+Лист1!B69+Лист1!D69+Лист1!F69+Лист1!H69+Лист1!J69+Лист1!L69+Лист1!N69+Лист1!P69+'Свод '!DL69</f>
        <v>59407.384999999995</v>
      </c>
      <c r="AK69" s="39">
        <f>'Свод '!AC69+'Свод '!AE69+'Свод '!AM69+'Свод '!AO69+'Свод '!AQ69+'Свод '!BE69+'Свод '!BG69+'Свод '!BI69+'Свод '!BK69+'Свод '!BM69+'Свод '!BO69+'Свод '!BQ69+'Свод '!BS69+'Свод '!BU69+'Свод '!BW69+'Свод '!BY69+'Свод '!CA69+'Свод '!CI69+'Свод '!CK69+'Свод '!CM69+'Свод '!CO69+'Свод '!CQ69+'Свод '!CS69+'Свод '!CU69+'Свод '!CW69+'Свод '!CY69+'Свод '!DA69+'Свод '!DC69+'Свод '!DI69+'Свод '!DO69+'Свод '!DS69+'Свод '!DU69+'Свод '!DW69+'Свод '!DY69+'Свод '!EA69+'Свод '!EC69+'Свод '!EE69+'Свод '!EG69+'Свод '!EI69+'Свод '!EK69+'Свод '!EM69+'Свод '!FK69+'Свод '!FM69+'Свод '!FO69+'Свод '!FQ69+'Свод '!FS69+'Свод '!FU69+'Свод '!FW69+'Свод '!FY69+'Свод '!GA69+'Свод '!GC69+'Свод '!GE69+'Свод '!GG69+'Свод '!GI69+'Свод '!HG69+'Свод '!HI69+'Свод '!HK69+'Свод '!HM69+'Свод '!HO69+'Свод '!HS69+Лист1!C69+Лист1!E69+Лист1!G69+Лист1!I69+Лист1!K69+Лист1!M69+Лист1!O69+Лист1!Q69+'Свод '!DM69</f>
        <v>59228.25203999999</v>
      </c>
      <c r="AL69" s="144">
        <f>'Свод '!AF69+'Свод '!AJ69+'Свод '!BB69+'Свод '!CB69+'Свод '!CD69+'Свод '!EN69+'Свод '!FD69+'Свод '!FF69+'Свод '!GJ69+'Свод '!GL69+'Свод '!GN69+'Свод '!GP69+'Свод '!GR69+'Свод '!GT69+'Свод '!GV69+'Свод '!GX69+'Свод '!HT69+'Свод '!HV69</f>
        <v>229194.786</v>
      </c>
      <c r="AM69" s="42">
        <f>'Свод '!AG69+'Свод '!AK69+'Свод '!BC69+'Свод '!CC69+'Свод '!CE69+'Свод '!EO69+'Свод '!FE69+'Свод '!FG69+'Свод '!GK69+'Свод '!GM69+'Свод '!GO69+'Свод '!GQ69+'Свод '!GS69+'Свод '!GU69+'Свод '!GW69+'Свод '!GY69+'Свод '!HU69+'Свод '!HW69</f>
        <v>229189.786</v>
      </c>
      <c r="AN69" s="42">
        <f>'Свод '!J69+'Свод '!L69+'Свод '!N69+'Свод '!P69+'Свод '!R69+'Свод '!T69+'Свод '!V69+'Свод '!X69+'Свод '!Z69+'Свод '!AR69+'Свод '!AT69+'Свод '!AV69+'Свод '!AX69+'Свод '!DD69+'Свод '!EP69+'Свод '!ER69+'Свод '!ET69+'Свод '!EV69+'Свод '!EX69+'Свод '!EZ69+'Свод '!GZ69+'Свод '!HB69+T69+V69+Z69+AB69</f>
        <v>251</v>
      </c>
      <c r="AO69" s="42">
        <f>'Свод '!K69+'Свод '!M69+'Свод '!O69+'Свод '!Q69+'Свод '!S69+'Свод '!U69+'Свод '!W69+'Свод '!Y69+'Свод '!AA69+'Свод '!AS69+'Свод '!AU69+'Свод '!AW69+'Свод '!AY69+'Свод '!DE69+'Свод '!EQ69+'Свод '!ES69+'Свод '!EU69+'Свод '!EW69+'Свод '!EY69+'Свод '!FA69+'Свод '!HA69+'Свод '!HC69+U69+W69+AA69+AC69</f>
        <v>251</v>
      </c>
    </row>
    <row r="70" spans="1:41" ht="12.75" customHeight="1">
      <c r="A70" s="109" t="s">
        <v>211</v>
      </c>
      <c r="B70" s="104"/>
      <c r="C70" s="42"/>
      <c r="D70" s="40"/>
      <c r="E70" s="40"/>
      <c r="F70" s="43">
        <v>1557</v>
      </c>
      <c r="G70" s="42">
        <v>1557</v>
      </c>
      <c r="H70" s="40"/>
      <c r="I70" s="40"/>
      <c r="J70" s="110"/>
      <c r="K70" s="42"/>
      <c r="L70" s="40">
        <v>4200</v>
      </c>
      <c r="M70" s="40">
        <v>4179.895</v>
      </c>
      <c r="N70" s="55">
        <v>2100</v>
      </c>
      <c r="O70" s="55">
        <v>2100</v>
      </c>
      <c r="P70" s="55"/>
      <c r="Q70" s="55"/>
      <c r="R70" s="42">
        <f t="shared" si="1"/>
        <v>7857</v>
      </c>
      <c r="S70" s="42">
        <f t="shared" si="2"/>
        <v>7836.895</v>
      </c>
      <c r="T70" s="42"/>
      <c r="U70" s="42"/>
      <c r="V70" s="40"/>
      <c r="W70" s="40"/>
      <c r="X70" s="42">
        <f t="shared" si="3"/>
        <v>0</v>
      </c>
      <c r="Y70" s="42">
        <f t="shared" si="4"/>
        <v>0</v>
      </c>
      <c r="Z70" s="42"/>
      <c r="AA70" s="42"/>
      <c r="AB70" s="40"/>
      <c r="AC70" s="40"/>
      <c r="AD70" s="42">
        <f t="shared" si="5"/>
        <v>0</v>
      </c>
      <c r="AE70" s="42">
        <f t="shared" si="6"/>
        <v>0</v>
      </c>
      <c r="AF70" s="42">
        <f>'Свод '!AH70+'Свод '!AZ70+'Свод '!BB70+'Свод '!CF70+'Свод '!DF70+'Свод '!DJ70+'Свод '!DP70+'Свод '!FB70+'Свод '!FH70+'Свод '!HD70+'Свод '!HP70+'Свод '!HX70+Лист1!R70+Лист1!AD70+X70</f>
        <v>44580.372650000005</v>
      </c>
      <c r="AG70" s="42">
        <f>'Свод '!AI70+'Свод '!BA70+'Свод '!BC70+'Свод '!CG70+'Свод '!DG70+'Свод '!DK70+'Свод '!DQ70+'Свод '!FC70+'Свод '!FI70+'Свод '!HE70+'Свод '!HQ70+'Свод '!HY70+Лист1!S70+Лист1!AE70+Y70</f>
        <v>44560.26765000001</v>
      </c>
      <c r="AH70" s="42">
        <f>'Свод '!B70+'Свод '!D70+'Свод '!F70+'Свод '!H70</f>
        <v>4943</v>
      </c>
      <c r="AI70" s="42">
        <f>'Свод '!C70+'Свод '!E70+'Свод '!G70+'Свод '!I70</f>
        <v>4943</v>
      </c>
      <c r="AJ70" s="39">
        <f>'Свод '!AB70+'Свод '!AD70+'Свод '!AL70+'Свод '!AN70+'Свод '!AP70+'Свод '!BD70+'Свод '!BF70+'Свод '!BH70+'Свод '!BJ70+'Свод '!BL70+'Свод '!BN70+'Свод '!BP70+'Свод '!BR70+'Свод '!BT70+'Свод '!BV70+'Свод '!BX70+'Свод '!BZ70+'Свод '!CH70+'Свод '!CJ70+'Свод '!CL70+'Свод '!CN70+'Свод '!CP70+'Свод '!CR70+'Свод '!CT70+'Свод '!CV70+'Свод '!CX70+'Свод '!CZ70+'Свод '!DB70+'Свод '!DH70+'Свод '!DN70+'Свод '!DR70+'Свод '!DT70+'Свод '!DV70+'Свод '!DX70+'Свод '!DZ70+'Свод '!EB70+'Свод '!ED70+'Свод '!EF70+'Свод '!EH70+'Свод '!EJ70+'Свод '!EL70+'Свод '!FJ70+'Свод '!FL70+'Свод '!FN70+'Свод '!FP70+'Свод '!FR70+'Свод '!FT70+'Свод '!FV70+'Свод '!FX70+'Свод '!FZ70+'Свод '!GB70+'Свод '!GD70+'Свод '!GF70+'Свод '!GH70+'Свод '!HF70+'Свод '!HH70+'Свод '!HJ70+'Свод '!HL70+'Свод '!HN70+'Свод '!HR70+Лист1!B70+Лист1!D70+Лист1!F70+Лист1!H70+Лист1!J70+Лист1!L70+Лист1!N70+Лист1!P70+'Свод '!DL70</f>
        <v>27834.087570000003</v>
      </c>
      <c r="AK70" s="39">
        <f>'Свод '!AC70+'Свод '!AE70+'Свод '!AM70+'Свод '!AO70+'Свод '!AQ70+'Свод '!BE70+'Свод '!BG70+'Свод '!BI70+'Свод '!BK70+'Свод '!BM70+'Свод '!BO70+'Свод '!BQ70+'Свод '!BS70+'Свод '!BU70+'Свод '!BW70+'Свод '!BY70+'Свод '!CA70+'Свод '!CI70+'Свод '!CK70+'Свод '!CM70+'Свод '!CO70+'Свод '!CQ70+'Свод '!CS70+'Свод '!CU70+'Свод '!CW70+'Свод '!CY70+'Свод '!DA70+'Свод '!DC70+'Свод '!DI70+'Свод '!DO70+'Свод '!DS70+'Свод '!DU70+'Свод '!DW70+'Свод '!DY70+'Свод '!EA70+'Свод '!EC70+'Свод '!EE70+'Свод '!EG70+'Свод '!EI70+'Свод '!EK70+'Свод '!EM70+'Свод '!FK70+'Свод '!FM70+'Свод '!FO70+'Свод '!FQ70+'Свод '!FS70+'Свод '!FU70+'Свод '!FW70+'Свод '!FY70+'Свод '!GA70+'Свод '!GC70+'Свод '!GE70+'Свод '!GG70+'Свод '!GI70+'Свод '!HG70+'Свод '!HI70+'Свод '!HK70+'Свод '!HM70+'Свод '!HO70+'Свод '!HS70+Лист1!C70+Лист1!E70+Лист1!G70+Лист1!I70+Лист1!K70+Лист1!M70+Лист1!O70+Лист1!Q70+'Свод '!DM70</f>
        <v>27813.982570000004</v>
      </c>
      <c r="AL70" s="144">
        <f>'Свод '!AF70+'Свод '!AJ70+'Свод '!BB70+'Свод '!CB70+'Свод '!CD70+'Свод '!EN70+'Свод '!FD70+'Свод '!FF70+'Свод '!GJ70+'Свод '!GL70+'Свод '!GN70+'Свод '!GP70+'Свод '!GR70+'Свод '!GT70+'Свод '!GV70+'Свод '!GX70+'Свод '!HT70+'Свод '!HV70</f>
        <v>0</v>
      </c>
      <c r="AM70" s="42">
        <f>'Свод '!AG70+'Свод '!AK70+'Свод '!BC70+'Свод '!CC70+'Свод '!CE70+'Свод '!EO70+'Свод '!FE70+'Свод '!FG70+'Свод '!GK70+'Свод '!GM70+'Свод '!GO70+'Свод '!GQ70+'Свод '!GS70+'Свод '!GU70+'Свод '!GW70+'Свод '!GY70+'Свод '!HU70+'Свод '!HW70</f>
        <v>0</v>
      </c>
      <c r="AN70" s="42">
        <f>'Свод '!J70+'Свод '!L70+'Свод '!N70+'Свод '!P70+'Свод '!R70+'Свод '!T70+'Свод '!V70+'Свод '!X70+'Свод '!Z70+'Свод '!AR70+'Свод '!AT70+'Свод '!AV70+'Свод '!AX70+'Свод '!DD70+'Свод '!EP70+'Свод '!ER70+'Свод '!ET70+'Свод '!EV70+'Свод '!EX70+'Свод '!EZ70+'Свод '!GZ70+'Свод '!HB70+T70+V70+Z70+AB70</f>
        <v>11803.28508</v>
      </c>
      <c r="AO70" s="42">
        <f>'Свод '!K70+'Свод '!M70+'Свод '!O70+'Свод '!Q70+'Свод '!S70+'Свод '!U70+'Свод '!W70+'Свод '!Y70+'Свод '!AA70+'Свод '!AS70+'Свод '!AU70+'Свод '!AW70+'Свод '!AY70+'Свод '!DE70+'Свод '!EQ70+'Свод '!ES70+'Свод '!EU70+'Свод '!EW70+'Свод '!EY70+'Свод '!FA70+'Свод '!HA70+'Свод '!HC70+U70+W70+AA70+AC70</f>
        <v>11803.28508</v>
      </c>
    </row>
    <row r="71" spans="1:41" ht="12.75">
      <c r="A71" s="109" t="s">
        <v>244</v>
      </c>
      <c r="B71" s="104"/>
      <c r="C71" s="42"/>
      <c r="D71" s="40"/>
      <c r="E71" s="40"/>
      <c r="F71" s="43"/>
      <c r="G71" s="46"/>
      <c r="H71" s="40"/>
      <c r="I71" s="40"/>
      <c r="J71" s="110"/>
      <c r="K71" s="42"/>
      <c r="L71" s="40"/>
      <c r="M71" s="40"/>
      <c r="N71" s="40"/>
      <c r="O71" s="40"/>
      <c r="P71" s="40"/>
      <c r="Q71" s="40"/>
      <c r="R71" s="42">
        <f t="shared" si="1"/>
        <v>0</v>
      </c>
      <c r="S71" s="42">
        <f t="shared" si="2"/>
        <v>0</v>
      </c>
      <c r="T71" s="42"/>
      <c r="U71" s="42"/>
      <c r="V71" s="40"/>
      <c r="W71" s="40"/>
      <c r="X71" s="42">
        <f t="shared" si="3"/>
        <v>0</v>
      </c>
      <c r="Y71" s="42">
        <f t="shared" si="4"/>
        <v>0</v>
      </c>
      <c r="Z71" s="42"/>
      <c r="AA71" s="42"/>
      <c r="AB71" s="40"/>
      <c r="AC71" s="40"/>
      <c r="AD71" s="42">
        <f t="shared" si="5"/>
        <v>0</v>
      </c>
      <c r="AE71" s="42">
        <f t="shared" si="6"/>
        <v>0</v>
      </c>
      <c r="AF71" s="42">
        <f>'Свод '!AH71+'Свод '!AZ71+'Свод '!BB71+'Свод '!CF71+'Свод '!DF71+'Свод '!DJ71+'Свод '!DP71+'Свод '!FB71+'Свод '!FH71+'Свод '!HD71+'Свод '!HP71+'Свод '!HX71+Лист1!R71+Лист1!AD71+X71</f>
        <v>5035.78</v>
      </c>
      <c r="AG71" s="42">
        <f>'Свод '!AI71+'Свод '!BA71+'Свод '!BC71+'Свод '!CG71+'Свод '!DG71+'Свод '!DK71+'Свод '!DQ71+'Свод '!FC71+'Свод '!FI71+'Свод '!HE71+'Свод '!HQ71+'Свод '!HY71+Лист1!S71+Лист1!AE71+Y71</f>
        <v>5035.77</v>
      </c>
      <c r="AH71" s="42">
        <f>'Свод '!B71+'Свод '!D71+'Свод '!F71+'Свод '!H71</f>
        <v>1688</v>
      </c>
      <c r="AI71" s="42">
        <f>'Свод '!C71+'Свод '!E71+'Свод '!G71+'Свод '!I71</f>
        <v>1688</v>
      </c>
      <c r="AJ71" s="39">
        <f>'Свод '!AB71+'Свод '!AD71+'Свод '!AL71+'Свод '!AN71+'Свод '!AP71+'Свод '!BD71+'Свод '!BF71+'Свод '!BH71+'Свод '!BJ71+'Свод '!BL71+'Свод '!BN71+'Свод '!BP71+'Свод '!BR71+'Свод '!BT71+'Свод '!BV71+'Свод '!BX71+'Свод '!BZ71+'Свод '!CH71+'Свод '!CJ71+'Свод '!CL71+'Свод '!CN71+'Свод '!CP71+'Свод '!CR71+'Свод '!CT71+'Свод '!CV71+'Свод '!CX71+'Свод '!CZ71+'Свод '!DB71+'Свод '!DH71+'Свод '!DN71+'Свод '!DR71+'Свод '!DT71+'Свод '!DV71+'Свод '!DX71+'Свод '!DZ71+'Свод '!EB71+'Свод '!ED71+'Свод '!EF71+'Свод '!EH71+'Свод '!EJ71+'Свод '!EL71+'Свод '!FJ71+'Свод '!FL71+'Свод '!FN71+'Свод '!FP71+'Свод '!FR71+'Свод '!FT71+'Свод '!FV71+'Свод '!FX71+'Свод '!FZ71+'Свод '!GB71+'Свод '!GD71+'Свод '!GF71+'Свод '!GH71+'Свод '!HF71+'Свод '!HH71+'Свод '!HJ71+'Свод '!HL71+'Свод '!HN71+'Свод '!HR71+Лист1!B71+Лист1!D71+Лист1!F71+Лист1!H71+Лист1!J71+Лист1!L71+Лист1!N71+Лист1!P71+'Свод '!DL71</f>
        <v>2308.6</v>
      </c>
      <c r="AK71" s="39">
        <f>'Свод '!AC71+'Свод '!AE71+'Свод '!AM71+'Свод '!AO71+'Свод '!AQ71+'Свод '!BE71+'Свод '!BG71+'Свод '!BI71+'Свод '!BK71+'Свод '!BM71+'Свод '!BO71+'Свод '!BQ71+'Свод '!BS71+'Свод '!BU71+'Свод '!BW71+'Свод '!BY71+'Свод '!CA71+'Свод '!CI71+'Свод '!CK71+'Свод '!CM71+'Свод '!CO71+'Свод '!CQ71+'Свод '!CS71+'Свод '!CU71+'Свод '!CW71+'Свод '!CY71+'Свод '!DA71+'Свод '!DC71+'Свод '!DI71+'Свод '!DO71+'Свод '!DS71+'Свод '!DU71+'Свод '!DW71+'Свод '!DY71+'Свод '!EA71+'Свод '!EC71+'Свод '!EE71+'Свод '!EG71+'Свод '!EI71+'Свод '!EK71+'Свод '!EM71+'Свод '!FK71+'Свод '!FM71+'Свод '!FO71+'Свод '!FQ71+'Свод '!FS71+'Свод '!FU71+'Свод '!FW71+'Свод '!FY71+'Свод '!GA71+'Свод '!GC71+'Свод '!GE71+'Свод '!GG71+'Свод '!GI71+'Свод '!HG71+'Свод '!HI71+'Свод '!HK71+'Свод '!HM71+'Свод '!HO71+'Свод '!HS71+Лист1!C71+Лист1!E71+Лист1!G71+Лист1!I71+Лист1!K71+Лист1!M71+Лист1!O71+Лист1!Q71+'Свод '!DM71</f>
        <v>2308.59</v>
      </c>
      <c r="AL71" s="144">
        <f>'Свод '!AF71+'Свод '!AJ71+'Свод '!BB71+'Свод '!CB71+'Свод '!CD71+'Свод '!EN71+'Свод '!FD71+'Свод '!FF71+'Свод '!GJ71+'Свод '!GL71+'Свод '!GN71+'Свод '!GP71+'Свод '!GR71+'Свод '!GT71+'Свод '!GV71+'Свод '!GX71+'Свод '!HT71+'Свод '!HV71</f>
        <v>147</v>
      </c>
      <c r="AM71" s="42">
        <f>'Свод '!AG71+'Свод '!AK71+'Свод '!BC71+'Свод '!CC71+'Свод '!CE71+'Свод '!EO71+'Свод '!FE71+'Свод '!FG71+'Свод '!GK71+'Свод '!GM71+'Свод '!GO71+'Свод '!GQ71+'Свод '!GS71+'Свод '!GU71+'Свод '!GW71+'Свод '!GY71+'Свод '!HU71+'Свод '!HW71</f>
        <v>147</v>
      </c>
      <c r="AN71" s="42">
        <f>'Свод '!J71+'Свод '!L71+'Свод '!N71+'Свод '!P71+'Свод '!R71+'Свод '!T71+'Свод '!V71+'Свод '!X71+'Свод '!Z71+'Свод '!AR71+'Свод '!AT71+'Свод '!AV71+'Свод '!AX71+'Свод '!DD71+'Свод '!EP71+'Свод '!ER71+'Свод '!ET71+'Свод '!EV71+'Свод '!EX71+'Свод '!EZ71+'Свод '!GZ71+'Свод '!HB71+T71+V71+Z71+AB71</f>
        <v>892.18</v>
      </c>
      <c r="AO71" s="42">
        <f>'Свод '!K71+'Свод '!M71+'Свод '!O71+'Свод '!Q71+'Свод '!S71+'Свод '!U71+'Свод '!W71+'Свод '!Y71+'Свод '!AA71+'Свод '!AS71+'Свод '!AU71+'Свод '!AW71+'Свод '!AY71+'Свод '!DE71+'Свод '!EQ71+'Свод '!ES71+'Свод '!EU71+'Свод '!EW71+'Свод '!EY71+'Свод '!FA71+'Свод '!HA71+'Свод '!HC71+U71+W71+AA71+AC71</f>
        <v>892.1800000000001</v>
      </c>
    </row>
    <row r="72" spans="1:41" ht="12.75" customHeight="1">
      <c r="A72" s="109" t="s">
        <v>245</v>
      </c>
      <c r="B72" s="104"/>
      <c r="C72" s="42"/>
      <c r="D72" s="40"/>
      <c r="E72" s="40"/>
      <c r="F72" s="43"/>
      <c r="G72" s="46"/>
      <c r="H72" s="40"/>
      <c r="I72" s="40"/>
      <c r="J72" s="110"/>
      <c r="K72" s="42"/>
      <c r="L72" s="40"/>
      <c r="M72" s="40"/>
      <c r="N72" s="40"/>
      <c r="O72" s="40"/>
      <c r="P72" s="40"/>
      <c r="Q72" s="40"/>
      <c r="R72" s="42">
        <f t="shared" si="1"/>
        <v>0</v>
      </c>
      <c r="S72" s="42">
        <f t="shared" si="2"/>
        <v>0</v>
      </c>
      <c r="T72" s="42"/>
      <c r="U72" s="42"/>
      <c r="V72" s="40"/>
      <c r="W72" s="40"/>
      <c r="X72" s="42">
        <f t="shared" si="3"/>
        <v>0</v>
      </c>
      <c r="Y72" s="42">
        <f t="shared" si="4"/>
        <v>0</v>
      </c>
      <c r="Z72" s="42"/>
      <c r="AA72" s="42"/>
      <c r="AB72" s="40"/>
      <c r="AC72" s="40"/>
      <c r="AD72" s="42">
        <f t="shared" si="5"/>
        <v>0</v>
      </c>
      <c r="AE72" s="42">
        <f t="shared" si="6"/>
        <v>0</v>
      </c>
      <c r="AF72" s="42">
        <f>'Свод '!AH72+'Свод '!AZ72+'Свод '!BB72+'Свод '!CF72+'Свод '!DF72+'Свод '!DJ72+'Свод '!DP72+'Свод '!FB72+'Свод '!FH72+'Свод '!HD72+'Свод '!HP72+'Свод '!HX72+Лист1!R72+Лист1!AD72+X72</f>
        <v>8953.63955</v>
      </c>
      <c r="AG72" s="42">
        <f>'Свод '!AI72+'Свод '!BA72+'Свод '!BC72+'Свод '!CG72+'Свод '!DG72+'Свод '!DK72+'Свод '!DQ72+'Свод '!FC72+'Свод '!FI72+'Свод '!HE72+'Свод '!HQ72+'Свод '!HY72+Лист1!S72+Лист1!AE72+Y72</f>
        <v>8939.63955</v>
      </c>
      <c r="AH72" s="42">
        <f>'Свод '!B72+'Свод '!D72+'Свод '!F72+'Свод '!H72</f>
        <v>3913</v>
      </c>
      <c r="AI72" s="42">
        <f>'Свод '!C72+'Свод '!E72+'Свод '!G72+'Свод '!I72</f>
        <v>3913</v>
      </c>
      <c r="AJ72" s="39">
        <f>'Свод '!AB72+'Свод '!AD72+'Свод '!AL72+'Свод '!AN72+'Свод '!AP72+'Свод '!BD72+'Свод '!BF72+'Свод '!BH72+'Свод '!BJ72+'Свод '!BL72+'Свод '!BN72+'Свод '!BP72+'Свод '!BR72+'Свод '!BT72+'Свод '!BV72+'Свод '!BX72+'Свод '!BZ72+'Свод '!CH72+'Свод '!CJ72+'Свод '!CL72+'Свод '!CN72+'Свод '!CP72+'Свод '!CR72+'Свод '!CT72+'Свод '!CV72+'Свод '!CX72+'Свод '!CZ72+'Свод '!DB72+'Свод '!DH72+'Свод '!DN72+'Свод '!DR72+'Свод '!DT72+'Свод '!DV72+'Свод '!DX72+'Свод '!DZ72+'Свод '!EB72+'Свод '!ED72+'Свод '!EF72+'Свод '!EH72+'Свод '!EJ72+'Свод '!EL72+'Свод '!FJ72+'Свод '!FL72+'Свод '!FN72+'Свод '!FP72+'Свод '!FR72+'Свод '!FT72+'Свод '!FV72+'Свод '!FX72+'Свод '!FZ72+'Свод '!GB72+'Свод '!GD72+'Свод '!GF72+'Свод '!GH72+'Свод '!HF72+'Свод '!HH72+'Свод '!HJ72+'Свод '!HL72+'Свод '!HN72+'Свод '!HR72+Лист1!B72+Лист1!D72+Лист1!F72+Лист1!H72+Лист1!J72+Лист1!L72+Лист1!N72+Лист1!P72+'Свод '!DL72</f>
        <v>4829</v>
      </c>
      <c r="AK72" s="39">
        <f>'Свод '!AC72+'Свод '!AE72+'Свод '!AM72+'Свод '!AO72+'Свод '!AQ72+'Свод '!BE72+'Свод '!BG72+'Свод '!BI72+'Свод '!BK72+'Свод '!BM72+'Свод '!BO72+'Свод '!BQ72+'Свод '!BS72+'Свод '!BU72+'Свод '!BW72+'Свод '!BY72+'Свод '!CA72+'Свод '!CI72+'Свод '!CK72+'Свод '!CM72+'Свод '!CO72+'Свод '!CQ72+'Свод '!CS72+'Свод '!CU72+'Свод '!CW72+'Свод '!CY72+'Свод '!DA72+'Свод '!DC72+'Свод '!DI72+'Свод '!DO72+'Свод '!DS72+'Свод '!DU72+'Свод '!DW72+'Свод '!DY72+'Свод '!EA72+'Свод '!EC72+'Свод '!EE72+'Свод '!EG72+'Свод '!EI72+'Свод '!EK72+'Свод '!EM72+'Свод '!FK72+'Свод '!FM72+'Свод '!FO72+'Свод '!FQ72+'Свод '!FS72+'Свод '!FU72+'Свод '!FW72+'Свод '!FY72+'Свод '!GA72+'Свод '!GC72+'Свод '!GE72+'Свод '!GG72+'Свод '!GI72+'Свод '!HG72+'Свод '!HI72+'Свод '!HK72+'Свод '!HM72+'Свод '!HO72+'Свод '!HS72+Лист1!C72+Лист1!E72+Лист1!G72+Лист1!I72+Лист1!K72+Лист1!M72+Лист1!O72+Лист1!Q72+'Свод '!DM72</f>
        <v>4815</v>
      </c>
      <c r="AL72" s="144">
        <f>'Свод '!AF72+'Свод '!AJ72+'Свод '!BB72+'Свод '!CB72+'Свод '!CD72+'Свод '!EN72+'Свод '!FD72+'Свод '!FF72+'Свод '!GJ72+'Свод '!GL72+'Свод '!GN72+'Свод '!GP72+'Свод '!GR72+'Свод '!GT72+'Свод '!GV72+'Свод '!GX72+'Свод '!HT72+'Свод '!HV72</f>
        <v>147</v>
      </c>
      <c r="AM72" s="42">
        <f>'Свод '!AG72+'Свод '!AK72+'Свод '!BC72+'Свод '!CC72+'Свод '!CE72+'Свод '!EO72+'Свод '!FE72+'Свод '!FG72+'Свод '!GK72+'Свод '!GM72+'Свод '!GO72+'Свод '!GQ72+'Свод '!GS72+'Свод '!GU72+'Свод '!GW72+'Свод '!GY72+'Свод '!HU72+'Свод '!HW72</f>
        <v>147</v>
      </c>
      <c r="AN72" s="42">
        <f>'Свод '!J72+'Свод '!L72+'Свод '!N72+'Свод '!P72+'Свод '!R72+'Свод '!T72+'Свод '!V72+'Свод '!X72+'Свод '!Z72+'Свод '!AR72+'Свод '!AT72+'Свод '!AV72+'Свод '!AX72+'Свод '!DD72+'Свод '!EP72+'Свод '!ER72+'Свод '!ET72+'Свод '!EV72+'Свод '!EX72+'Свод '!EZ72+'Свод '!GZ72+'Свод '!HB72+T72+V72+Z72+AB72</f>
        <v>64.63955</v>
      </c>
      <c r="AO72" s="42">
        <f>'Свод '!K72+'Свод '!M72+'Свод '!O72+'Свод '!Q72+'Свод '!S72+'Свод '!U72+'Свод '!W72+'Свод '!Y72+'Свод '!AA72+'Свод '!AS72+'Свод '!AU72+'Свод '!AW72+'Свод '!AY72+'Свод '!DE72+'Свод '!EQ72+'Свод '!ES72+'Свод '!EU72+'Свод '!EW72+'Свод '!EY72+'Свод '!FA72+'Свод '!HA72+'Свод '!HC72+U72+W72+AA72+AC72</f>
        <v>64.63955</v>
      </c>
    </row>
    <row r="73" spans="1:41" ht="12.75">
      <c r="A73" s="109" t="s">
        <v>246</v>
      </c>
      <c r="B73" s="104"/>
      <c r="C73" s="42"/>
      <c r="D73" s="40"/>
      <c r="E73" s="40"/>
      <c r="F73" s="43"/>
      <c r="G73" s="46"/>
      <c r="H73" s="40"/>
      <c r="I73" s="40"/>
      <c r="J73" s="110"/>
      <c r="K73" s="42"/>
      <c r="L73" s="40"/>
      <c r="M73" s="40"/>
      <c r="N73" s="40"/>
      <c r="O73" s="40"/>
      <c r="P73" s="40"/>
      <c r="Q73" s="40"/>
      <c r="R73" s="42">
        <f t="shared" si="1"/>
        <v>0</v>
      </c>
      <c r="S73" s="42">
        <f t="shared" si="2"/>
        <v>0</v>
      </c>
      <c r="T73" s="42"/>
      <c r="U73" s="42"/>
      <c r="V73" s="40"/>
      <c r="W73" s="40"/>
      <c r="X73" s="42">
        <f t="shared" si="3"/>
        <v>0</v>
      </c>
      <c r="Y73" s="42">
        <f t="shared" si="4"/>
        <v>0</v>
      </c>
      <c r="Z73" s="42"/>
      <c r="AA73" s="42"/>
      <c r="AB73" s="40"/>
      <c r="AC73" s="40"/>
      <c r="AD73" s="42">
        <f t="shared" si="5"/>
        <v>0</v>
      </c>
      <c r="AE73" s="42">
        <f t="shared" si="6"/>
        <v>0</v>
      </c>
      <c r="AF73" s="42">
        <f>'Свод '!AH73+'Свод '!AZ73+'Свод '!BB73+'Свод '!CF73+'Свод '!DF73+'Свод '!DJ73+'Свод '!DP73+'Свод '!FB73+'Свод '!FH73+'Свод '!HD73+'Свод '!HP73+'Свод '!HX73+Лист1!R73+Лист1!AD73+X73</f>
        <v>13140</v>
      </c>
      <c r="AG73" s="42">
        <f>'Свод '!AI73+'Свод '!BA73+'Свод '!BC73+'Свод '!CG73+'Свод '!DG73+'Свод '!DK73+'Свод '!DQ73+'Свод '!FC73+'Свод '!FI73+'Свод '!HE73+'Свод '!HQ73+'Свод '!HY73+Лист1!S73+Лист1!AE73+Y73</f>
        <v>13140</v>
      </c>
      <c r="AH73" s="42">
        <f>'Свод '!B73+'Свод '!D73+'Свод '!F73+'Свод '!H73</f>
        <v>1753</v>
      </c>
      <c r="AI73" s="42">
        <f>'Свод '!C73+'Свод '!E73+'Свод '!G73+'Свод '!I73</f>
        <v>1753</v>
      </c>
      <c r="AJ73" s="39">
        <f>'Свод '!AB73+'Свод '!AD73+'Свод '!AL73+'Свод '!AN73+'Свод '!AP73+'Свод '!BD73+'Свод '!BF73+'Свод '!BH73+'Свод '!BJ73+'Свод '!BL73+'Свод '!BN73+'Свод '!BP73+'Свод '!BR73+'Свод '!BT73+'Свод '!BV73+'Свод '!BX73+'Свод '!BZ73+'Свод '!CH73+'Свод '!CJ73+'Свод '!CL73+'Свод '!CN73+'Свод '!CP73+'Свод '!CR73+'Свод '!CT73+'Свод '!CV73+'Свод '!CX73+'Свод '!CZ73+'Свод '!DB73+'Свод '!DH73+'Свод '!DN73+'Свод '!DR73+'Свод '!DT73+'Свод '!DV73+'Свод '!DX73+'Свод '!DZ73+'Свод '!EB73+'Свод '!ED73+'Свод '!EF73+'Свод '!EH73+'Свод '!EJ73+'Свод '!EL73+'Свод '!FJ73+'Свод '!FL73+'Свод '!FN73+'Свод '!FP73+'Свод '!FR73+'Свод '!FT73+'Свод '!FV73+'Свод '!FX73+'Свод '!FZ73+'Свод '!GB73+'Свод '!GD73+'Свод '!GF73+'Свод '!GH73+'Свод '!HF73+'Свод '!HH73+'Свод '!HJ73+'Свод '!HL73+'Свод '!HN73+'Свод '!HR73+Лист1!B73+Лист1!D73+Лист1!F73+Лист1!H73+Лист1!J73+Лист1!L73+Лист1!N73+Лист1!P73+'Свод '!DL73</f>
        <v>11140</v>
      </c>
      <c r="AK73" s="39">
        <f>'Свод '!AC73+'Свод '!AE73+'Свод '!AM73+'Свод '!AO73+'Свод '!AQ73+'Свод '!BE73+'Свод '!BG73+'Свод '!BI73+'Свод '!BK73+'Свод '!BM73+'Свод '!BO73+'Свод '!BQ73+'Свод '!BS73+'Свод '!BU73+'Свод '!BW73+'Свод '!BY73+'Свод '!CA73+'Свод '!CI73+'Свод '!CK73+'Свод '!CM73+'Свод '!CO73+'Свод '!CQ73+'Свод '!CS73+'Свод '!CU73+'Свод '!CW73+'Свод '!CY73+'Свод '!DA73+'Свод '!DC73+'Свод '!DI73+'Свод '!DO73+'Свод '!DS73+'Свод '!DU73+'Свод '!DW73+'Свод '!DY73+'Свод '!EA73+'Свод '!EC73+'Свод '!EE73+'Свод '!EG73+'Свод '!EI73+'Свод '!EK73+'Свод '!EM73+'Свод '!FK73+'Свод '!FM73+'Свод '!FO73+'Свод '!FQ73+'Свод '!FS73+'Свод '!FU73+'Свод '!FW73+'Свод '!FY73+'Свод '!GA73+'Свод '!GC73+'Свод '!GE73+'Свод '!GG73+'Свод '!GI73+'Свод '!HG73+'Свод '!HI73+'Свод '!HK73+'Свод '!HM73+'Свод '!HO73+'Свод '!HS73+Лист1!C73+Лист1!E73+Лист1!G73+Лист1!I73+Лист1!K73+Лист1!M73+Лист1!O73+Лист1!Q73+'Свод '!DM73</f>
        <v>11140</v>
      </c>
      <c r="AL73" s="144">
        <f>'Свод '!AF73+'Свод '!AJ73+'Свод '!BB73+'Свод '!CB73+'Свод '!CD73+'Свод '!EN73+'Свод '!FD73+'Свод '!FF73+'Свод '!GJ73+'Свод '!GL73+'Свод '!GN73+'Свод '!GP73+'Свод '!GR73+'Свод '!GT73+'Свод '!GV73+'Свод '!GX73+'Свод '!HT73+'Свод '!HV73</f>
        <v>147</v>
      </c>
      <c r="AM73" s="42">
        <f>'Свод '!AG73+'Свод '!AK73+'Свод '!BC73+'Свод '!CC73+'Свод '!CE73+'Свод '!EO73+'Свод '!FE73+'Свод '!FG73+'Свод '!GK73+'Свод '!GM73+'Свод '!GO73+'Свод '!GQ73+'Свод '!GS73+'Свод '!GU73+'Свод '!GW73+'Свод '!GY73+'Свод '!HU73+'Свод '!HW73</f>
        <v>147</v>
      </c>
      <c r="AN73" s="42">
        <f>'Свод '!J73+'Свод '!L73+'Свод '!N73+'Свод '!P73+'Свод '!R73+'Свод '!T73+'Свод '!V73+'Свод '!X73+'Свод '!Z73+'Свод '!AR73+'Свод '!AT73+'Свод '!AV73+'Свод '!AX73+'Свод '!DD73+'Свод '!EP73+'Свод '!ER73+'Свод '!ET73+'Свод '!EV73+'Свод '!EX73+'Свод '!EZ73+'Свод '!GZ73+'Свод '!HB73+T73+V73+Z73+AB73</f>
        <v>100</v>
      </c>
      <c r="AO73" s="42">
        <f>'Свод '!K73+'Свод '!M73+'Свод '!O73+'Свод '!Q73+'Свод '!S73+'Свод '!U73+'Свод '!W73+'Свод '!Y73+'Свод '!AA73+'Свод '!AS73+'Свод '!AU73+'Свод '!AW73+'Свод '!AY73+'Свод '!DE73+'Свод '!EQ73+'Свод '!ES73+'Свод '!EU73+'Свод '!EW73+'Свод '!EY73+'Свод '!FA73+'Свод '!HA73+'Свод '!HC73+U73+W73+AA73+AC73</f>
        <v>100</v>
      </c>
    </row>
    <row r="74" spans="1:41" ht="12.75" customHeight="1">
      <c r="A74" s="109" t="s">
        <v>247</v>
      </c>
      <c r="B74" s="104"/>
      <c r="C74" s="42"/>
      <c r="D74" s="40"/>
      <c r="E74" s="40"/>
      <c r="F74" s="43"/>
      <c r="G74" s="46"/>
      <c r="H74" s="40"/>
      <c r="I74" s="40"/>
      <c r="J74" s="110"/>
      <c r="K74" s="42"/>
      <c r="L74" s="40"/>
      <c r="M74" s="40"/>
      <c r="N74" s="40"/>
      <c r="O74" s="40"/>
      <c r="P74" s="40"/>
      <c r="Q74" s="40"/>
      <c r="R74" s="42">
        <f t="shared" si="1"/>
        <v>0</v>
      </c>
      <c r="S74" s="42">
        <f t="shared" si="2"/>
        <v>0</v>
      </c>
      <c r="T74" s="42"/>
      <c r="U74" s="42"/>
      <c r="V74" s="40"/>
      <c r="W74" s="40"/>
      <c r="X74" s="42">
        <f t="shared" si="3"/>
        <v>0</v>
      </c>
      <c r="Y74" s="42">
        <f t="shared" si="4"/>
        <v>0</v>
      </c>
      <c r="Z74" s="42"/>
      <c r="AA74" s="42"/>
      <c r="AB74" s="40"/>
      <c r="AC74" s="40"/>
      <c r="AD74" s="42">
        <f t="shared" si="5"/>
        <v>0</v>
      </c>
      <c r="AE74" s="42">
        <f t="shared" si="6"/>
        <v>0</v>
      </c>
      <c r="AF74" s="42">
        <f>'Свод '!AH74+'Свод '!AZ74+'Свод '!BB74+'Свод '!CF74+'Свод '!DF74+'Свод '!DJ74+'Свод '!DP74+'Свод '!FB74+'Свод '!FH74+'Свод '!HD74+'Свод '!HP74+'Свод '!HX74+Лист1!R74+Лист1!AD74+X74</f>
        <v>3718.38843</v>
      </c>
      <c r="AG74" s="42">
        <f>'Свод '!AI74+'Свод '!BA74+'Свод '!BC74+'Свод '!CG74+'Свод '!DG74+'Свод '!DK74+'Свод '!DQ74+'Свод '!FC74+'Свод '!FI74+'Свод '!HE74+'Свод '!HQ74+'Свод '!HY74+Лист1!S74+Лист1!AE74+Y74</f>
        <v>3596.74944</v>
      </c>
      <c r="AH74" s="42">
        <f>'Свод '!B74+'Свод '!D74+'Свод '!F74+'Свод '!H74</f>
        <v>3002</v>
      </c>
      <c r="AI74" s="42">
        <f>'Свод '!C74+'Свод '!E74+'Свод '!G74+'Свод '!I74</f>
        <v>3002</v>
      </c>
      <c r="AJ74" s="39">
        <f>'Свод '!AB74+'Свод '!AD74+'Свод '!AL74+'Свод '!AN74+'Свод '!AP74+'Свод '!BD74+'Свод '!BF74+'Свод '!BH74+'Свод '!BJ74+'Свод '!BL74+'Свод '!BN74+'Свод '!BP74+'Свод '!BR74+'Свод '!BT74+'Свод '!BV74+'Свод '!BX74+'Свод '!BZ74+'Свод '!CH74+'Свод '!CJ74+'Свод '!CL74+'Свод '!CN74+'Свод '!CP74+'Свод '!CR74+'Свод '!CT74+'Свод '!CV74+'Свод '!CX74+'Свод '!CZ74+'Свод '!DB74+'Свод '!DH74+'Свод '!DN74+'Свод '!DR74+'Свод '!DT74+'Свод '!DV74+'Свод '!DX74+'Свод '!DZ74+'Свод '!EB74+'Свод '!ED74+'Свод '!EF74+'Свод '!EH74+'Свод '!EJ74+'Свод '!EL74+'Свод '!FJ74+'Свод '!FL74+'Свод '!FN74+'Свод '!FP74+'Свод '!FR74+'Свод '!FT74+'Свод '!FV74+'Свод '!FX74+'Свод '!FZ74+'Свод '!GB74+'Свод '!GD74+'Свод '!GF74+'Свод '!GH74+'Свод '!HF74+'Свод '!HH74+'Свод '!HJ74+'Свод '!HL74+'Свод '!HN74+'Свод '!HR74+Лист1!B74+Лист1!D74+Лист1!F74+Лист1!H74+Лист1!J74+Лист1!L74+Лист1!N74+Лист1!P74+'Свод '!DL74</f>
        <v>337</v>
      </c>
      <c r="AK74" s="39">
        <f>'Свод '!AC74+'Свод '!AE74+'Свод '!AM74+'Свод '!AO74+'Свод '!AQ74+'Свод '!BE74+'Свод '!BG74+'Свод '!BI74+'Свод '!BK74+'Свод '!BM74+'Свод '!BO74+'Свод '!BQ74+'Свод '!BS74+'Свод '!BU74+'Свод '!BW74+'Свод '!BY74+'Свод '!CA74+'Свод '!CI74+'Свод '!CK74+'Свод '!CM74+'Свод '!CO74+'Свод '!CQ74+'Свод '!CS74+'Свод '!CU74+'Свод '!CW74+'Свод '!CY74+'Свод '!DA74+'Свод '!DC74+'Свод '!DI74+'Свод '!DO74+'Свод '!DS74+'Свод '!DU74+'Свод '!DW74+'Свод '!DY74+'Свод '!EA74+'Свод '!EC74+'Свод '!EE74+'Свод '!EG74+'Свод '!EI74+'Свод '!EK74+'Свод '!EM74+'Свод '!FK74+'Свод '!FM74+'Свод '!FO74+'Свод '!FQ74+'Свод '!FS74+'Свод '!FU74+'Свод '!FW74+'Свод '!FY74+'Свод '!GA74+'Свод '!GC74+'Свод '!GE74+'Свод '!GG74+'Свод '!GI74+'Свод '!HG74+'Свод '!HI74+'Свод '!HK74+'Свод '!HM74+'Свод '!HO74+'Свод '!HS74+Лист1!C74+Лист1!E74+Лист1!G74+Лист1!I74+Лист1!K74+Лист1!M74+Лист1!O74+Лист1!Q74+'Свод '!DM74</f>
        <v>303</v>
      </c>
      <c r="AL74" s="144">
        <f>'Свод '!AF74+'Свод '!AJ74+'Свод '!BB74+'Свод '!CB74+'Свод '!CD74+'Свод '!EN74+'Свод '!FD74+'Свод '!FF74+'Свод '!GJ74+'Свод '!GL74+'Свод '!GN74+'Свод '!GP74+'Свод '!GR74+'Свод '!GT74+'Свод '!GV74+'Свод '!GX74+'Свод '!HT74+'Свод '!HV74</f>
        <v>147</v>
      </c>
      <c r="AM74" s="42">
        <f>'Свод '!AG74+'Свод '!AK74+'Свод '!BC74+'Свод '!CC74+'Свод '!CE74+'Свод '!EO74+'Свод '!FE74+'Свод '!FG74+'Свод '!GK74+'Свод '!GM74+'Свод '!GO74+'Свод '!GQ74+'Свод '!GS74+'Свод '!GU74+'Свод '!GW74+'Свод '!GY74+'Свод '!HU74+'Свод '!HW74</f>
        <v>62.19572</v>
      </c>
      <c r="AN74" s="42">
        <f>'Свод '!J74+'Свод '!L74+'Свод '!N74+'Свод '!P74+'Свод '!R74+'Свод '!T74+'Свод '!V74+'Свод '!X74+'Свод '!Z74+'Свод '!AR74+'Свод '!AT74+'Свод '!AV74+'Свод '!AX74+'Свод '!DD74+'Свод '!EP74+'Свод '!ER74+'Свод '!ET74+'Свод '!EV74+'Свод '!EX74+'Свод '!EZ74+'Свод '!GZ74+'Свод '!HB74+T74+V74+Z74+AB74</f>
        <v>232.38843</v>
      </c>
      <c r="AO74" s="42">
        <f>'Свод '!K74+'Свод '!M74+'Свод '!O74+'Свод '!Q74+'Свод '!S74+'Свод '!U74+'Свод '!W74+'Свод '!Y74+'Свод '!AA74+'Свод '!AS74+'Свод '!AU74+'Свод '!AW74+'Свод '!AY74+'Свод '!DE74+'Свод '!EQ74+'Свод '!ES74+'Свод '!EU74+'Свод '!EW74+'Свод '!EY74+'Свод '!FA74+'Свод '!HA74+'Свод '!HC74+U74+W74+AA74+AC74</f>
        <v>229.55372</v>
      </c>
    </row>
    <row r="75" spans="1:41" ht="21" customHeight="1">
      <c r="A75" s="108" t="s">
        <v>133</v>
      </c>
      <c r="B75" s="104">
        <v>627</v>
      </c>
      <c r="C75" s="42">
        <v>277.769</v>
      </c>
      <c r="D75" s="40">
        <f>SUM(D76:D81)</f>
        <v>0</v>
      </c>
      <c r="E75" s="40">
        <f>SUM(E76:E81)</f>
        <v>0</v>
      </c>
      <c r="F75" s="43">
        <v>1673</v>
      </c>
      <c r="G75" s="46">
        <v>1600.67325</v>
      </c>
      <c r="H75" s="40">
        <f>SUM(H76:H81)</f>
        <v>0</v>
      </c>
      <c r="I75" s="40">
        <f>SUM(I76:I81)</f>
        <v>0</v>
      </c>
      <c r="J75" s="104">
        <v>0</v>
      </c>
      <c r="K75" s="42">
        <v>0</v>
      </c>
      <c r="L75" s="47">
        <v>0</v>
      </c>
      <c r="M75" s="47">
        <v>0</v>
      </c>
      <c r="N75" s="47">
        <f>SUM(N76:N81)</f>
        <v>0</v>
      </c>
      <c r="O75" s="47">
        <f>SUM(O76:O81)</f>
        <v>0</v>
      </c>
      <c r="P75" s="47">
        <f>SUM(P76:P81)</f>
        <v>0</v>
      </c>
      <c r="Q75" s="47">
        <f>SUM(Q76:Q81)</f>
        <v>0</v>
      </c>
      <c r="R75" s="42">
        <f t="shared" si="1"/>
        <v>2300</v>
      </c>
      <c r="S75" s="42">
        <f t="shared" si="2"/>
        <v>1878.44225</v>
      </c>
      <c r="T75" s="40">
        <v>0</v>
      </c>
      <c r="U75" s="40">
        <v>0</v>
      </c>
      <c r="V75" s="40">
        <v>0</v>
      </c>
      <c r="W75" s="40">
        <v>0</v>
      </c>
      <c r="X75" s="42">
        <f t="shared" si="3"/>
        <v>0</v>
      </c>
      <c r="Y75" s="42">
        <f t="shared" si="4"/>
        <v>0</v>
      </c>
      <c r="Z75" s="42">
        <v>938.4</v>
      </c>
      <c r="AA75" s="42">
        <v>938.4</v>
      </c>
      <c r="AB75" s="40">
        <v>0</v>
      </c>
      <c r="AC75" s="40">
        <v>0</v>
      </c>
      <c r="AD75" s="42">
        <f t="shared" si="5"/>
        <v>938.4</v>
      </c>
      <c r="AE75" s="42">
        <f t="shared" si="6"/>
        <v>938.4</v>
      </c>
      <c r="AF75" s="42">
        <f>'Свод '!AH75+'Свод '!AZ75+'Свод '!BB75+'Свод '!CF75+'Свод '!DF75+'Свод '!DJ75+'Свод '!DP75+'Свод '!FB75+'Свод '!FH75+'Свод '!HD75+'Свод '!HP75+'Свод '!HX75+Лист1!R75+Лист1!AD75+X75</f>
        <v>454032.28633000003</v>
      </c>
      <c r="AG75" s="42">
        <f>'Свод '!AI75+'Свод '!BA75+'Свод '!BC75+'Свод '!CG75+'Свод '!DG75+'Свод '!DK75+'Свод '!DQ75+'Свод '!FC75+'Свод '!FI75+'Свод '!HE75+'Свод '!HQ75+'Свод '!HY75+Лист1!S75+Лист1!AE75+Y75</f>
        <v>439673.84208000003</v>
      </c>
      <c r="AH75" s="42">
        <f>'Свод '!B75+'Свод '!D75+'Свод '!F75+'Свод '!H75</f>
        <v>112588</v>
      </c>
      <c r="AI75" s="42">
        <f>'Свод '!C75+'Свод '!E75+'Свод '!G75+'Свод '!I75</f>
        <v>112588</v>
      </c>
      <c r="AJ75" s="39">
        <f>'Свод '!AB75+'Свод '!AD75+'Свод '!AL75+'Свод '!AN75+'Свод '!AP75+'Свод '!BD75+'Свод '!BF75+'Свод '!BH75+'Свод '!BJ75+'Свод '!BL75+'Свод '!BN75+'Свод '!BP75+'Свод '!BR75+'Свод '!BT75+'Свод '!BV75+'Свод '!BX75+'Свод '!BZ75+'Свод '!CH75+'Свод '!CJ75+'Свод '!CL75+'Свод '!CN75+'Свод '!CP75+'Свод '!CR75+'Свод '!CT75+'Свод '!CV75+'Свод '!CX75+'Свод '!CZ75+'Свод '!DB75+'Свод '!DH75+'Свод '!DN75+'Свод '!DR75+'Свод '!DT75+'Свод '!DV75+'Свод '!DX75+'Свод '!DZ75+'Свод '!EB75+'Свод '!ED75+'Свод '!EF75+'Свод '!EH75+'Свод '!EJ75+'Свод '!EL75+'Свод '!FJ75+'Свод '!FL75+'Свод '!FN75+'Свод '!FP75+'Свод '!FR75+'Свод '!FT75+'Свод '!FV75+'Свод '!FX75+'Свод '!FZ75+'Свод '!GB75+'Свод '!GD75+'Свод '!GF75+'Свод '!GH75+'Свод '!HF75+'Свод '!HH75+'Свод '!HJ75+'Свод '!HL75+'Свод '!HN75+'Свод '!HR75+Лист1!B75+Лист1!D75+Лист1!F75+Лист1!H75+Лист1!J75+Лист1!L75+Лист1!N75+Лист1!P75+'Свод '!DL75</f>
        <v>130195.67990999999</v>
      </c>
      <c r="AK75" s="39">
        <f>'Свод '!AC75+'Свод '!AE75+'Свод '!AM75+'Свод '!AO75+'Свод '!AQ75+'Свод '!BE75+'Свод '!BG75+'Свод '!BI75+'Свод '!BK75+'Свод '!BM75+'Свод '!BO75+'Свод '!BQ75+'Свод '!BS75+'Свод '!BU75+'Свод '!BW75+'Свод '!BY75+'Свод '!CA75+'Свод '!CI75+'Свод '!CK75+'Свод '!CM75+'Свод '!CO75+'Свод '!CQ75+'Свод '!CS75+'Свод '!CU75+'Свод '!CW75+'Свод '!CY75+'Свод '!DA75+'Свод '!DC75+'Свод '!DI75+'Свод '!DO75+'Свод '!DS75+'Свод '!DU75+'Свод '!DW75+'Свод '!DY75+'Свод '!EA75+'Свод '!EC75+'Свод '!EE75+'Свод '!EG75+'Свод '!EI75+'Свод '!EK75+'Свод '!EM75+'Свод '!FK75+'Свод '!FM75+'Свод '!FO75+'Свод '!FQ75+'Свод '!FS75+'Свод '!FU75+'Свод '!FW75+'Свод '!FY75+'Свод '!GA75+'Свод '!GC75+'Свод '!GE75+'Свод '!GG75+'Свод '!GI75+'Свод '!HG75+'Свод '!HI75+'Свод '!HK75+'Свод '!HM75+'Свод '!HO75+'Свод '!HS75+Лист1!C75+Лист1!E75+Лист1!G75+Лист1!I75+Лист1!K75+Лист1!M75+Лист1!O75+Лист1!Q75+'Свод '!DM75</f>
        <v>115840.19111</v>
      </c>
      <c r="AL75" s="144">
        <f>'Свод '!AF75+'Свод '!AJ75+'Свод '!BB75+'Свод '!CB75+'Свод '!CD75+'Свод '!EN75+'Свод '!FD75+'Свод '!FF75+'Свод '!GJ75+'Свод '!GL75+'Свод '!GN75+'Свод '!GP75+'Свод '!GR75+'Свод '!GT75+'Свод '!GV75+'Свод '!GX75+'Свод '!HT75+'Свод '!HV75</f>
        <v>185645.51</v>
      </c>
      <c r="AM75" s="42">
        <f>'Свод '!AG75+'Свод '!AK75+'Свод '!BC75+'Свод '!CC75+'Свод '!CE75+'Свод '!EO75+'Свод '!FE75+'Свод '!FG75+'Свод '!GK75+'Свод '!GM75+'Свод '!GO75+'Свод '!GQ75+'Свод '!GS75+'Свод '!GU75+'Свод '!GW75+'Свод '!GY75+'Свод '!HU75+'Свод '!HW75</f>
        <v>185645.51</v>
      </c>
      <c r="AN75" s="42">
        <f>'Свод '!J75+'Свод '!L75+'Свод '!N75+'Свод '!P75+'Свод '!R75+'Свод '!T75+'Свод '!V75+'Свод '!X75+'Свод '!Z75+'Свод '!AR75+'Свод '!AT75+'Свод '!AV75+'Свод '!AX75+'Свод '!DD75+'Свод '!EP75+'Свод '!ER75+'Свод '!ET75+'Свод '!EV75+'Свод '!EX75+'Свод '!EZ75+'Свод '!GZ75+'Свод '!HB75+T75+V75+Z75+AB75</f>
        <v>25603.09642</v>
      </c>
      <c r="AO75" s="42">
        <f>'Свод '!K75+'Свод '!M75+'Свод '!O75+'Свод '!Q75+'Свод '!S75+'Свод '!U75+'Свод '!W75+'Свод '!Y75+'Свод '!AA75+'Свод '!AS75+'Свод '!AU75+'Свод '!AW75+'Свод '!AY75+'Свод '!DE75+'Свод '!EQ75+'Свод '!ES75+'Свод '!EU75+'Свод '!EW75+'Свод '!EY75+'Свод '!FA75+'Свод '!HA75+'Свод '!HC75+U75+W75+AA75+AC75</f>
        <v>25600.14097</v>
      </c>
    </row>
    <row r="76" spans="1:41" ht="12.75" customHeight="1">
      <c r="A76" s="103" t="s">
        <v>156</v>
      </c>
      <c r="B76" s="104">
        <v>627</v>
      </c>
      <c r="C76" s="42">
        <v>277.769</v>
      </c>
      <c r="D76" s="40"/>
      <c r="E76" s="40"/>
      <c r="F76" s="43">
        <v>1673</v>
      </c>
      <c r="G76" s="42">
        <v>1600.67325</v>
      </c>
      <c r="H76" s="40"/>
      <c r="I76" s="40"/>
      <c r="J76" s="105"/>
      <c r="K76" s="42"/>
      <c r="L76" s="40"/>
      <c r="M76" s="40"/>
      <c r="N76" s="40"/>
      <c r="O76" s="40"/>
      <c r="P76" s="40"/>
      <c r="Q76" s="40"/>
      <c r="R76" s="42">
        <f t="shared" si="1"/>
        <v>2300</v>
      </c>
      <c r="S76" s="42">
        <f t="shared" si="2"/>
        <v>1878.44225</v>
      </c>
      <c r="T76" s="42"/>
      <c r="U76" s="42"/>
      <c r="V76" s="40"/>
      <c r="W76" s="40"/>
      <c r="X76" s="42">
        <f t="shared" si="3"/>
        <v>0</v>
      </c>
      <c r="Y76" s="42">
        <f t="shared" si="4"/>
        <v>0</v>
      </c>
      <c r="Z76" s="42">
        <v>938.4</v>
      </c>
      <c r="AA76" s="42">
        <v>938.4</v>
      </c>
      <c r="AB76" s="40"/>
      <c r="AC76" s="40"/>
      <c r="AD76" s="42">
        <f t="shared" si="5"/>
        <v>938.4</v>
      </c>
      <c r="AE76" s="42">
        <f t="shared" si="6"/>
        <v>938.4</v>
      </c>
      <c r="AF76" s="42">
        <f>'Свод '!AH76+'Свод '!AZ76+'Свод '!BB76+'Свод '!CF76+'Свод '!DF76+'Свод '!DJ76+'Свод '!DP76+'Свод '!FB76+'Свод '!FH76+'Свод '!HD76+'Свод '!HP76+'Свод '!HX76+Лист1!R76+Лист1!AD76+X76</f>
        <v>419784.29042</v>
      </c>
      <c r="AG76" s="42">
        <f>'Свод '!AI76+'Свод '!BA76+'Свод '!BC76+'Свод '!CG76+'Свод '!DG76+'Свод '!DK76+'Свод '!DQ76+'Свод '!FC76+'Свод '!FI76+'Свод '!HE76+'Свод '!HQ76+'Свод '!HY76+Лист1!S76+Лист1!AE76+Y76</f>
        <v>407635.25132</v>
      </c>
      <c r="AH76" s="42">
        <f>'Свод '!B76+'Свод '!D76+'Свод '!F76+'Свод '!H76</f>
        <v>93403</v>
      </c>
      <c r="AI76" s="42">
        <f>'Свод '!C76+'Свод '!E76+'Свод '!G76+'Свод '!I76</f>
        <v>93403</v>
      </c>
      <c r="AJ76" s="39">
        <f>'Свод '!AB76+'Свод '!AD76+'Свод '!AL76+'Свод '!AN76+'Свод '!AP76+'Свод '!BD76+'Свод '!BF76+'Свод '!BH76+'Свод '!BJ76+'Свод '!BL76+'Свод '!BN76+'Свод '!BP76+'Свод '!BR76+'Свод '!BT76+'Свод '!BV76+'Свод '!BX76+'Свод '!BZ76+'Свод '!CH76+'Свод '!CJ76+'Свод '!CL76+'Свод '!CN76+'Свод '!CP76+'Свод '!CR76+'Свод '!CT76+'Свод '!CV76+'Свод '!CX76+'Свод '!CZ76+'Свод '!DB76+'Свод '!DH76+'Свод '!DN76+'Свод '!DR76+'Свод '!DT76+'Свод '!DV76+'Свод '!DX76+'Свод '!DZ76+'Свод '!EB76+'Свод '!ED76+'Свод '!EF76+'Свод '!EH76+'Свод '!EJ76+'Свод '!EL76+'Свод '!FJ76+'Свод '!FL76+'Свод '!FN76+'Свод '!FP76+'Свод '!FR76+'Свод '!FT76+'Свод '!FV76+'Свод '!FX76+'Свод '!FZ76+'Свод '!GB76+'Свод '!GD76+'Свод '!GF76+'Свод '!GH76+'Свод '!HF76+'Свод '!HH76+'Свод '!HJ76+'Свод '!HL76+'Свод '!HN76+'Свод '!HR76+Лист1!B76+Лист1!D76+Лист1!F76+Лист1!H76+Лист1!J76+Лист1!L76+Лист1!N76+Лист1!P76+'Свод '!DL76</f>
        <v>117117.68399999998</v>
      </c>
      <c r="AK76" s="39">
        <f>'Свод '!AC76+'Свод '!AE76+'Свод '!AM76+'Свод '!AO76+'Свод '!AQ76+'Свод '!BE76+'Свод '!BG76+'Свод '!BI76+'Свод '!BK76+'Свод '!BM76+'Свод '!BO76+'Свод '!BQ76+'Свод '!BS76+'Свод '!BU76+'Свод '!BW76+'Свод '!BY76+'Свод '!CA76+'Свод '!CI76+'Свод '!CK76+'Свод '!CM76+'Свод '!CO76+'Свод '!CQ76+'Свод '!CS76+'Свод '!CU76+'Свод '!CW76+'Свод '!CY76+'Свод '!DA76+'Свод '!DC76+'Свод '!DI76+'Свод '!DO76+'Свод '!DS76+'Свод '!DU76+'Свод '!DW76+'Свод '!DY76+'Свод '!EA76+'Свод '!EC76+'Свод '!EE76+'Свод '!EG76+'Свод '!EI76+'Свод '!EK76+'Свод '!EM76+'Свод '!FK76+'Свод '!FM76+'Свод '!FO76+'Свод '!FQ76+'Свод '!FS76+'Свод '!FU76+'Свод '!FW76+'Свод '!FY76+'Свод '!GA76+'Свод '!GC76+'Свод '!GE76+'Свод '!GG76+'Свод '!GI76+'Свод '!HG76+'Свод '!HI76+'Свод '!HK76+'Свод '!HM76+'Свод '!HO76+'Свод '!HS76+Лист1!C76+Лист1!E76+Лист1!G76+Лист1!I76+Лист1!K76+Лист1!M76+Лист1!O76+Лист1!Q76+'Свод '!DM76</f>
        <v>104971.60035000001</v>
      </c>
      <c r="AL76" s="144">
        <f>'Свод '!AF76+'Свод '!AJ76+'Свод '!BB76+'Свод '!CB76+'Свод '!CD76+'Свод '!EN76+'Свод '!FD76+'Свод '!FF76+'Свод '!GJ76+'Свод '!GL76+'Свод '!GN76+'Свод '!GP76+'Свод '!GR76+'Свод '!GT76+'Свод '!GV76+'Свод '!GX76+'Свод '!HT76+'Свод '!HV76</f>
        <v>184910.51</v>
      </c>
      <c r="AM76" s="42">
        <f>'Свод '!AG76+'Свод '!AK76+'Свод '!BC76+'Свод '!CC76+'Свод '!CE76+'Свод '!EO76+'Свод '!FE76+'Свод '!FG76+'Свод '!GK76+'Свод '!GM76+'Свод '!GO76+'Свод '!GQ76+'Свод '!GS76+'Свод '!GU76+'Свод '!GW76+'Свод '!GY76+'Свод '!HU76+'Свод '!HW76</f>
        <v>184910.51</v>
      </c>
      <c r="AN76" s="42">
        <f>'Свод '!J76+'Свод '!L76+'Свод '!N76+'Свод '!P76+'Свод '!R76+'Свод '!T76+'Свод '!V76+'Свод '!X76+'Свод '!Z76+'Свод '!AR76+'Свод '!AT76+'Свод '!AV76+'Свод '!AX76+'Свод '!DD76+'Свод '!EP76+'Свод '!ER76+'Свод '!ET76+'Свод '!EV76+'Свод '!EX76+'Свод '!EZ76+'Свод '!GZ76+'Свод '!HB76+T76+V76+Z76+AB76</f>
        <v>24353.09642</v>
      </c>
      <c r="AO76" s="42">
        <f>'Свод '!K76+'Свод '!M76+'Свод '!O76+'Свод '!Q76+'Свод '!S76+'Свод '!U76+'Свод '!W76+'Свод '!Y76+'Свод '!AA76+'Свод '!AS76+'Свод '!AU76+'Свод '!AW76+'Свод '!AY76+'Свод '!DE76+'Свод '!EQ76+'Свод '!ES76+'Свод '!EU76+'Свод '!EW76+'Свод '!EY76+'Свод '!FA76+'Свод '!HA76+'Свод '!HC76+U76+W76+AA76+AC76</f>
        <v>24350.14097</v>
      </c>
    </row>
    <row r="77" spans="1:41" ht="12.75">
      <c r="A77" s="109" t="s">
        <v>212</v>
      </c>
      <c r="B77" s="104"/>
      <c r="C77" s="42"/>
      <c r="D77" s="40"/>
      <c r="E77" s="40"/>
      <c r="F77" s="43"/>
      <c r="G77" s="46"/>
      <c r="H77" s="40"/>
      <c r="I77" s="40"/>
      <c r="J77" s="110"/>
      <c r="K77" s="42"/>
      <c r="L77" s="40"/>
      <c r="M77" s="40"/>
      <c r="N77" s="40"/>
      <c r="O77" s="40"/>
      <c r="P77" s="40"/>
      <c r="Q77" s="40"/>
      <c r="R77" s="42">
        <f t="shared" si="1"/>
        <v>0</v>
      </c>
      <c r="S77" s="42">
        <f t="shared" si="2"/>
        <v>0</v>
      </c>
      <c r="T77" s="42"/>
      <c r="U77" s="42"/>
      <c r="V77" s="40"/>
      <c r="W77" s="40"/>
      <c r="X77" s="42">
        <f t="shared" si="3"/>
        <v>0</v>
      </c>
      <c r="Y77" s="42">
        <f t="shared" si="4"/>
        <v>0</v>
      </c>
      <c r="Z77" s="42"/>
      <c r="AA77" s="42"/>
      <c r="AB77" s="40"/>
      <c r="AC77" s="40"/>
      <c r="AD77" s="42">
        <f t="shared" si="5"/>
        <v>0</v>
      </c>
      <c r="AE77" s="42">
        <f t="shared" si="6"/>
        <v>0</v>
      </c>
      <c r="AF77" s="42">
        <f>'Свод '!AH77+'Свод '!AZ77+'Свод '!BB77+'Свод '!CF77+'Свод '!DF77+'Свод '!DJ77+'Свод '!DP77+'Свод '!FB77+'Свод '!FH77+'Свод '!HD77+'Свод '!HP77+'Свод '!HX77+Лист1!R77+Лист1!AD77+X77</f>
        <v>2024</v>
      </c>
      <c r="AG77" s="42">
        <f>'Свод '!AI77+'Свод '!BA77+'Свод '!BC77+'Свод '!CG77+'Свод '!DG77+'Свод '!DK77+'Свод '!DQ77+'Свод '!FC77+'Свод '!FI77+'Свод '!HE77+'Свод '!HQ77+'Свод '!HY77+Лист1!S77+Лист1!AE77+Y77</f>
        <v>2024</v>
      </c>
      <c r="AH77" s="42">
        <f>'Свод '!B77+'Свод '!D77+'Свод '!F77+'Свод '!H77</f>
        <v>1177</v>
      </c>
      <c r="AI77" s="42">
        <f>'Свод '!C77+'Свод '!E77+'Свод '!G77+'Свод '!I77</f>
        <v>1177</v>
      </c>
      <c r="AJ77" s="39">
        <f>'Свод '!AB77+'Свод '!AD77+'Свод '!AL77+'Свод '!AN77+'Свод '!AP77+'Свод '!BD77+'Свод '!BF77+'Свод '!BH77+'Свод '!BJ77+'Свод '!BL77+'Свод '!BN77+'Свод '!BP77+'Свод '!BR77+'Свод '!BT77+'Свод '!BV77+'Свод '!BX77+'Свод '!BZ77+'Свод '!CH77+'Свод '!CJ77+'Свод '!CL77+'Свод '!CN77+'Свод '!CP77+'Свод '!CR77+'Свод '!CT77+'Свод '!CV77+'Свод '!CX77+'Свод '!CZ77+'Свод '!DB77+'Свод '!DH77+'Свод '!DN77+'Свод '!DR77+'Свод '!DT77+'Свод '!DV77+'Свод '!DX77+'Свод '!DZ77+'Свод '!EB77+'Свод '!ED77+'Свод '!EF77+'Свод '!EH77+'Свод '!EJ77+'Свод '!EL77+'Свод '!FJ77+'Свод '!FL77+'Свод '!FN77+'Свод '!FP77+'Свод '!FR77+'Свод '!FT77+'Свод '!FV77+'Свод '!FX77+'Свод '!FZ77+'Свод '!GB77+'Свод '!GD77+'Свод '!GF77+'Свод '!GH77+'Свод '!HF77+'Свод '!HH77+'Свод '!HJ77+'Свод '!HL77+'Свод '!HN77+'Свод '!HR77+Лист1!B77+Лист1!D77+Лист1!F77+Лист1!H77+Лист1!J77+Лист1!L77+Лист1!N77+Лист1!P77+'Свод '!DL77</f>
        <v>0</v>
      </c>
      <c r="AK77" s="39">
        <f>'Свод '!AC77+'Свод '!AE77+'Свод '!AM77+'Свод '!AO77+'Свод '!AQ77+'Свод '!BE77+'Свод '!BG77+'Свод '!BI77+'Свод '!BK77+'Свод '!BM77+'Свод '!BO77+'Свод '!BQ77+'Свод '!BS77+'Свод '!BU77+'Свод '!BW77+'Свод '!BY77+'Свод '!CA77+'Свод '!CI77+'Свод '!CK77+'Свод '!CM77+'Свод '!CO77+'Свод '!CQ77+'Свод '!CS77+'Свод '!CU77+'Свод '!CW77+'Свод '!CY77+'Свод '!DA77+'Свод '!DC77+'Свод '!DI77+'Свод '!DO77+'Свод '!DS77+'Свод '!DU77+'Свод '!DW77+'Свод '!DY77+'Свод '!EA77+'Свод '!EC77+'Свод '!EE77+'Свод '!EG77+'Свод '!EI77+'Свод '!EK77+'Свод '!EM77+'Свод '!FK77+'Свод '!FM77+'Свод '!FO77+'Свод '!FQ77+'Свод '!FS77+'Свод '!FU77+'Свод '!FW77+'Свод '!FY77+'Свод '!GA77+'Свод '!GC77+'Свод '!GE77+'Свод '!GG77+'Свод '!GI77+'Свод '!HG77+'Свод '!HI77+'Свод '!HK77+'Свод '!HM77+'Свод '!HO77+'Свод '!HS77+Лист1!C77+Лист1!E77+Лист1!G77+Лист1!I77+Лист1!K77+Лист1!M77+Лист1!O77+Лист1!Q77+'Свод '!DM77</f>
        <v>0</v>
      </c>
      <c r="AL77" s="144">
        <f>'Свод '!AF77+'Свод '!AJ77+'Свод '!BB77+'Свод '!CB77+'Свод '!CD77+'Свод '!EN77+'Свод '!FD77+'Свод '!FF77+'Свод '!GJ77+'Свод '!GL77+'Свод '!GN77+'Свод '!GP77+'Свод '!GR77+'Свод '!GT77+'Свод '!GV77+'Свод '!GX77+'Свод '!HT77+'Свод '!HV77</f>
        <v>147</v>
      </c>
      <c r="AM77" s="42">
        <f>'Свод '!AG77+'Свод '!AK77+'Свод '!BC77+'Свод '!CC77+'Свод '!CE77+'Свод '!EO77+'Свод '!FE77+'Свод '!FG77+'Свод '!GK77+'Свод '!GM77+'Свод '!GO77+'Свод '!GQ77+'Свод '!GS77+'Свод '!GU77+'Свод '!GW77+'Свод '!GY77+'Свод '!HU77+'Свод '!HW77</f>
        <v>147</v>
      </c>
      <c r="AN77" s="42">
        <f>'Свод '!J77+'Свод '!L77+'Свод '!N77+'Свод '!P77+'Свод '!R77+'Свод '!T77+'Свод '!V77+'Свод '!X77+'Свод '!Z77+'Свод '!AR77+'Свод '!AT77+'Свод '!AV77+'Свод '!AX77+'Свод '!DD77+'Свод '!EP77+'Свод '!ER77+'Свод '!ET77+'Свод '!EV77+'Свод '!EX77+'Свод '!EZ77+'Свод '!GZ77+'Свод '!HB77+T77+V77+Z77+AB77</f>
        <v>700</v>
      </c>
      <c r="AO77" s="42">
        <f>'Свод '!K77+'Свод '!M77+'Свод '!O77+'Свод '!Q77+'Свод '!S77+'Свод '!U77+'Свод '!W77+'Свод '!Y77+'Свод '!AA77+'Свод '!AS77+'Свод '!AU77+'Свод '!AW77+'Свод '!AY77+'Свод '!DE77+'Свод '!EQ77+'Свод '!ES77+'Свод '!EU77+'Свод '!EW77+'Свод '!EY77+'Свод '!FA77+'Свод '!HA77+'Свод '!HC77+U77+W77+AA77+AC77</f>
        <v>700</v>
      </c>
    </row>
    <row r="78" spans="1:41" ht="12.75" customHeight="1">
      <c r="A78" s="109" t="s">
        <v>248</v>
      </c>
      <c r="B78" s="104"/>
      <c r="C78" s="42"/>
      <c r="D78" s="40"/>
      <c r="E78" s="40"/>
      <c r="F78" s="43"/>
      <c r="G78" s="46"/>
      <c r="H78" s="40"/>
      <c r="I78" s="40"/>
      <c r="J78" s="110"/>
      <c r="K78" s="42"/>
      <c r="L78" s="40"/>
      <c r="M78" s="40"/>
      <c r="N78" s="40"/>
      <c r="O78" s="40"/>
      <c r="P78" s="40"/>
      <c r="Q78" s="40"/>
      <c r="R78" s="42">
        <f t="shared" si="1"/>
        <v>0</v>
      </c>
      <c r="S78" s="42">
        <f t="shared" si="2"/>
        <v>0</v>
      </c>
      <c r="T78" s="42"/>
      <c r="U78" s="42"/>
      <c r="V78" s="40"/>
      <c r="W78" s="40"/>
      <c r="X78" s="42">
        <f t="shared" si="3"/>
        <v>0</v>
      </c>
      <c r="Y78" s="42">
        <f t="shared" si="4"/>
        <v>0</v>
      </c>
      <c r="Z78" s="42"/>
      <c r="AA78" s="42"/>
      <c r="AB78" s="40"/>
      <c r="AC78" s="40"/>
      <c r="AD78" s="42">
        <f t="shared" si="5"/>
        <v>0</v>
      </c>
      <c r="AE78" s="42">
        <f t="shared" si="6"/>
        <v>0</v>
      </c>
      <c r="AF78" s="42">
        <f>'Свод '!AH78+'Свод '!AZ78+'Свод '!BB78+'Свод '!CF78+'Свод '!DF78+'Свод '!DJ78+'Свод '!DP78+'Свод '!FB78+'Свод '!FH78+'Свод '!HD78+'Свод '!HP78+'Свод '!HX78+Лист1!R78+Лист1!AD78+X78</f>
        <v>14975.33654</v>
      </c>
      <c r="AG78" s="42">
        <f>'Свод '!AI78+'Свод '!BA78+'Свод '!BC78+'Свод '!CG78+'Свод '!DG78+'Свод '!DK78+'Свод '!DQ78+'Свод '!FC78+'Свод '!FI78+'Свод '!HE78+'Свод '!HQ78+'Свод '!HY78+Лист1!S78+Лист1!AE78+Y78</f>
        <v>12765.93139</v>
      </c>
      <c r="AH78" s="42">
        <f>'Свод '!B78+'Свод '!D78+'Свод '!F78+'Свод '!H78</f>
        <v>4734</v>
      </c>
      <c r="AI78" s="42">
        <f>'Свод '!C78+'Свод '!E78+'Свод '!G78+'Свод '!I78</f>
        <v>4734</v>
      </c>
      <c r="AJ78" s="39">
        <f>'Свод '!AB78+'Свод '!AD78+'Свод '!AL78+'Свод '!AN78+'Свод '!AP78+'Свод '!BD78+'Свод '!BF78+'Свод '!BH78+'Свод '!BJ78+'Свод '!BL78+'Свод '!BN78+'Свод '!BP78+'Свод '!BR78+'Свод '!BT78+'Свод '!BV78+'Свод '!BX78+'Свод '!BZ78+'Свод '!CH78+'Свод '!CJ78+'Свод '!CL78+'Свод '!CN78+'Свод '!CP78+'Свод '!CR78+'Свод '!CT78+'Свод '!CV78+'Свод '!CX78+'Свод '!CZ78+'Свод '!DB78+'Свод '!DH78+'Свод '!DN78+'Свод '!DR78+'Свод '!DT78+'Свод '!DV78+'Свод '!DX78+'Свод '!DZ78+'Свод '!EB78+'Свод '!ED78+'Свод '!EF78+'Свод '!EH78+'Свод '!EJ78+'Свод '!EL78+'Свод '!FJ78+'Свод '!FL78+'Свод '!FN78+'Свод '!FP78+'Свод '!FR78+'Свод '!FT78+'Свод '!FV78+'Свод '!FX78+'Свод '!FZ78+'Свод '!GB78+'Свод '!GD78+'Свод '!GF78+'Свод '!GH78+'Свод '!HF78+'Свод '!HH78+'Свод '!HJ78+'Свод '!HL78+'Свод '!HN78+'Свод '!HR78+Лист1!B78+Лист1!D78+Лист1!F78+Лист1!H78+Лист1!J78+Лист1!L78+Лист1!N78+Лист1!P78+'Свод '!DL78</f>
        <v>10094.33654</v>
      </c>
      <c r="AK78" s="39">
        <f>'Свод '!AC78+'Свод '!AE78+'Свод '!AM78+'Свод '!AO78+'Свод '!AQ78+'Свод '!BE78+'Свод '!BG78+'Свод '!BI78+'Свод '!BK78+'Свод '!BM78+'Свод '!BO78+'Свод '!BQ78+'Свод '!BS78+'Свод '!BU78+'Свод '!BW78+'Свод '!BY78+'Свод '!CA78+'Свод '!CI78+'Свод '!CK78+'Свод '!CM78+'Свод '!CO78+'Свод '!CQ78+'Свод '!CS78+'Свод '!CU78+'Свод '!CW78+'Свод '!CY78+'Свод '!DA78+'Свод '!DC78+'Свод '!DI78+'Свод '!DO78+'Свод '!DS78+'Свод '!DU78+'Свод '!DW78+'Свод '!DY78+'Свод '!EA78+'Свод '!EC78+'Свод '!EE78+'Свод '!EG78+'Свод '!EI78+'Свод '!EK78+'Свод '!EM78+'Свод '!FK78+'Свод '!FM78+'Свод '!FO78+'Свод '!FQ78+'Свод '!FS78+'Свод '!FU78+'Свод '!FW78+'Свод '!FY78+'Свод '!GA78+'Свод '!GC78+'Свод '!GE78+'Свод '!GG78+'Свод '!GI78+'Свод '!HG78+'Свод '!HI78+'Свод '!HK78+'Свод '!HM78+'Свод '!HO78+'Свод '!HS78+Лист1!C78+Лист1!E78+Лист1!G78+Лист1!I78+Лист1!K78+Лист1!M78+Лист1!O78+Лист1!Q78+'Свод '!DM78</f>
        <v>7884.93139</v>
      </c>
      <c r="AL78" s="144">
        <f>'Свод '!AF78+'Свод '!AJ78+'Свод '!BB78+'Свод '!CB78+'Свод '!CD78+'Свод '!EN78+'Свод '!FD78+'Свод '!FF78+'Свод '!GJ78+'Свод '!GL78+'Свод '!GN78+'Свод '!GP78+'Свод '!GR78+'Свод '!GT78+'Свод '!GV78+'Свод '!GX78+'Свод '!HT78+'Свод '!HV78</f>
        <v>147</v>
      </c>
      <c r="AM78" s="42">
        <f>'Свод '!AG78+'Свод '!AK78+'Свод '!BC78+'Свод '!CC78+'Свод '!CE78+'Свод '!EO78+'Свод '!FE78+'Свод '!FG78+'Свод '!GK78+'Свод '!GM78+'Свод '!GO78+'Свод '!GQ78+'Свод '!GS78+'Свод '!GU78+'Свод '!GW78+'Свод '!GY78+'Свод '!HU78+'Свод '!HW78</f>
        <v>147</v>
      </c>
      <c r="AN78" s="42">
        <f>'Свод '!J78+'Свод '!L78+'Свод '!N78+'Свод '!P78+'Свод '!R78+'Свод '!T78+'Свод '!V78+'Свод '!X78+'Свод '!Z78+'Свод '!AR78+'Свод '!AT78+'Свод '!AV78+'Свод '!AX78+'Свод '!DD78+'Свод '!EP78+'Свод '!ER78+'Свод '!ET78+'Свод '!EV78+'Свод '!EX78+'Свод '!EZ78+'Свод '!GZ78+'Свод '!HB78+T78+V78+Z78+AB78</f>
        <v>0</v>
      </c>
      <c r="AO78" s="42">
        <f>'Свод '!K78+'Свод '!M78+'Свод '!O78+'Свод '!Q78+'Свод '!S78+'Свод '!U78+'Свод '!W78+'Свод '!Y78+'Свод '!AA78+'Свод '!AS78+'Свод '!AU78+'Свод '!AW78+'Свод '!AY78+'Свод '!DE78+'Свод '!EQ78+'Свод '!ES78+'Свод '!EU78+'Свод '!EW78+'Свод '!EY78+'Свод '!FA78+'Свод '!HA78+'Свод '!HC78+U78+W78+AA78+AC78</f>
        <v>0</v>
      </c>
    </row>
    <row r="79" spans="1:41" ht="12.75">
      <c r="A79" s="109" t="s">
        <v>249</v>
      </c>
      <c r="B79" s="104"/>
      <c r="C79" s="42"/>
      <c r="D79" s="40"/>
      <c r="E79" s="40"/>
      <c r="F79" s="43"/>
      <c r="G79" s="46"/>
      <c r="H79" s="40"/>
      <c r="I79" s="40"/>
      <c r="J79" s="110"/>
      <c r="K79" s="42"/>
      <c r="L79" s="40"/>
      <c r="M79" s="40"/>
      <c r="N79" s="40"/>
      <c r="O79" s="40"/>
      <c r="P79" s="40"/>
      <c r="Q79" s="40"/>
      <c r="R79" s="42">
        <f aca="true" t="shared" si="8" ref="R79:R142">B79+D79+F79+J79+H79+L79+N79+P79</f>
        <v>0</v>
      </c>
      <c r="S79" s="42">
        <f aca="true" t="shared" si="9" ref="S79:S142">C79+E79+G79+K79+I79+M79+O79+Q79</f>
        <v>0</v>
      </c>
      <c r="T79" s="42"/>
      <c r="U79" s="42"/>
      <c r="V79" s="40"/>
      <c r="W79" s="40"/>
      <c r="X79" s="42">
        <f aca="true" t="shared" si="10" ref="X79:X142">T79+V79</f>
        <v>0</v>
      </c>
      <c r="Y79" s="42">
        <f aca="true" t="shared" si="11" ref="Y79:Y142">U79+W79</f>
        <v>0</v>
      </c>
      <c r="Z79" s="42"/>
      <c r="AA79" s="42"/>
      <c r="AB79" s="40"/>
      <c r="AC79" s="40"/>
      <c r="AD79" s="42">
        <f aca="true" t="shared" si="12" ref="AD79:AD142">Z79+AB79</f>
        <v>0</v>
      </c>
      <c r="AE79" s="42">
        <f aca="true" t="shared" si="13" ref="AE79:AE142">AA79+AC79</f>
        <v>0</v>
      </c>
      <c r="AF79" s="42">
        <f>'Свод '!AH79+'Свод '!AZ79+'Свод '!BB79+'Свод '!CF79+'Свод '!DF79+'Свод '!DJ79+'Свод '!DP79+'Свод '!FB79+'Свод '!FH79+'Свод '!HD79+'Свод '!HP79+'Свод '!HX79+Лист1!R79+Лист1!AD79+X79</f>
        <v>5002</v>
      </c>
      <c r="AG79" s="42">
        <f>'Свод '!AI79+'Свод '!BA79+'Свод '!BC79+'Свод '!CG79+'Свод '!DG79+'Свод '!DK79+'Свод '!DQ79+'Свод '!FC79+'Свод '!FI79+'Свод '!HE79+'Свод '!HQ79+'Свод '!HY79+Лист1!S79+Лист1!AE79+Y79</f>
        <v>5002</v>
      </c>
      <c r="AH79" s="42">
        <f>'Свод '!B79+'Свод '!D79+'Свод '!F79+'Свод '!H79</f>
        <v>4855</v>
      </c>
      <c r="AI79" s="42">
        <f>'Свод '!C79+'Свод '!E79+'Свод '!G79+'Свод '!I79</f>
        <v>4855</v>
      </c>
      <c r="AJ79" s="39">
        <f>'Свод '!AB79+'Свод '!AD79+'Свод '!AL79+'Свод '!AN79+'Свод '!AP79+'Свод '!BD79+'Свод '!BF79+'Свод '!BH79+'Свод '!BJ79+'Свод '!BL79+'Свод '!BN79+'Свод '!BP79+'Свод '!BR79+'Свод '!BT79+'Свод '!BV79+'Свод '!BX79+'Свод '!BZ79+'Свод '!CH79+'Свод '!CJ79+'Свод '!CL79+'Свод '!CN79+'Свод '!CP79+'Свод '!CR79+'Свод '!CT79+'Свод '!CV79+'Свод '!CX79+'Свод '!CZ79+'Свод '!DB79+'Свод '!DH79+'Свод '!DN79+'Свод '!DR79+'Свод '!DT79+'Свод '!DV79+'Свод '!DX79+'Свод '!DZ79+'Свод '!EB79+'Свод '!ED79+'Свод '!EF79+'Свод '!EH79+'Свод '!EJ79+'Свод '!EL79+'Свод '!FJ79+'Свод '!FL79+'Свод '!FN79+'Свод '!FP79+'Свод '!FR79+'Свод '!FT79+'Свод '!FV79+'Свод '!FX79+'Свод '!FZ79+'Свод '!GB79+'Свод '!GD79+'Свод '!GF79+'Свод '!GH79+'Свод '!HF79+'Свод '!HH79+'Свод '!HJ79+'Свод '!HL79+'Свод '!HN79+'Свод '!HR79+Лист1!B79+Лист1!D79+Лист1!F79+Лист1!H79+Лист1!J79+Лист1!L79+Лист1!N79+Лист1!P79+'Свод '!DL79</f>
        <v>0</v>
      </c>
      <c r="AK79" s="39">
        <f>'Свод '!AC79+'Свод '!AE79+'Свод '!AM79+'Свод '!AO79+'Свод '!AQ79+'Свод '!BE79+'Свод '!BG79+'Свод '!BI79+'Свод '!BK79+'Свод '!BM79+'Свод '!BO79+'Свод '!BQ79+'Свод '!BS79+'Свод '!BU79+'Свод '!BW79+'Свод '!BY79+'Свод '!CA79+'Свод '!CI79+'Свод '!CK79+'Свод '!CM79+'Свод '!CO79+'Свод '!CQ79+'Свод '!CS79+'Свод '!CU79+'Свод '!CW79+'Свод '!CY79+'Свод '!DA79+'Свод '!DC79+'Свод '!DI79+'Свод '!DO79+'Свод '!DS79+'Свод '!DU79+'Свод '!DW79+'Свод '!DY79+'Свод '!EA79+'Свод '!EC79+'Свод '!EE79+'Свод '!EG79+'Свод '!EI79+'Свод '!EK79+'Свод '!EM79+'Свод '!FK79+'Свод '!FM79+'Свод '!FO79+'Свод '!FQ79+'Свод '!FS79+'Свод '!FU79+'Свод '!FW79+'Свод '!FY79+'Свод '!GA79+'Свод '!GC79+'Свод '!GE79+'Свод '!GG79+'Свод '!GI79+'Свод '!HG79+'Свод '!HI79+'Свод '!HK79+'Свод '!HM79+'Свод '!HO79+'Свод '!HS79+Лист1!C79+Лист1!E79+Лист1!G79+Лист1!I79+Лист1!K79+Лист1!M79+Лист1!O79+Лист1!Q79+'Свод '!DM79</f>
        <v>0</v>
      </c>
      <c r="AL79" s="144">
        <f>'Свод '!AF79+'Свод '!AJ79+'Свод '!BB79+'Свод '!CB79+'Свод '!CD79+'Свод '!EN79+'Свод '!FD79+'Свод '!FF79+'Свод '!GJ79+'Свод '!GL79+'Свод '!GN79+'Свод '!GP79+'Свод '!GR79+'Свод '!GT79+'Свод '!GV79+'Свод '!GX79+'Свод '!HT79+'Свод '!HV79</f>
        <v>147</v>
      </c>
      <c r="AM79" s="42">
        <f>'Свод '!AG79+'Свод '!AK79+'Свод '!BC79+'Свод '!CC79+'Свод '!CE79+'Свод '!EO79+'Свод '!FE79+'Свод '!FG79+'Свод '!GK79+'Свод '!GM79+'Свод '!GO79+'Свод '!GQ79+'Свод '!GS79+'Свод '!GU79+'Свод '!GW79+'Свод '!GY79+'Свод '!HU79+'Свод '!HW79</f>
        <v>147</v>
      </c>
      <c r="AN79" s="42">
        <f>'Свод '!J79+'Свод '!L79+'Свод '!N79+'Свод '!P79+'Свод '!R79+'Свод '!T79+'Свод '!V79+'Свод '!X79+'Свод '!Z79+'Свод '!AR79+'Свод '!AT79+'Свод '!AV79+'Свод '!AX79+'Свод '!DD79+'Свод '!EP79+'Свод '!ER79+'Свод '!ET79+'Свод '!EV79+'Свод '!EX79+'Свод '!EZ79+'Свод '!GZ79+'Свод '!HB79+T79+V79+Z79+AB79</f>
        <v>0</v>
      </c>
      <c r="AO79" s="42">
        <f>'Свод '!K79+'Свод '!M79+'Свод '!O79+'Свод '!Q79+'Свод '!S79+'Свод '!U79+'Свод '!W79+'Свод '!Y79+'Свод '!AA79+'Свод '!AS79+'Свод '!AU79+'Свод '!AW79+'Свод '!AY79+'Свод '!DE79+'Свод '!EQ79+'Свод '!ES79+'Свод '!EU79+'Свод '!EW79+'Свод '!EY79+'Свод '!FA79+'Свод '!HA79+'Свод '!HC79+U79+W79+AA79+AC79</f>
        <v>0</v>
      </c>
    </row>
    <row r="80" spans="1:41" ht="12.75" customHeight="1">
      <c r="A80" s="109" t="s">
        <v>250</v>
      </c>
      <c r="B80" s="104"/>
      <c r="C80" s="42"/>
      <c r="D80" s="40"/>
      <c r="E80" s="40"/>
      <c r="F80" s="43"/>
      <c r="G80" s="46"/>
      <c r="H80" s="40"/>
      <c r="I80" s="40"/>
      <c r="J80" s="110"/>
      <c r="K80" s="42"/>
      <c r="L80" s="40"/>
      <c r="M80" s="40"/>
      <c r="N80" s="40"/>
      <c r="O80" s="40"/>
      <c r="P80" s="40"/>
      <c r="Q80" s="40"/>
      <c r="R80" s="42">
        <f t="shared" si="8"/>
        <v>0</v>
      </c>
      <c r="S80" s="42">
        <f t="shared" si="9"/>
        <v>0</v>
      </c>
      <c r="T80" s="42"/>
      <c r="U80" s="42"/>
      <c r="V80" s="40"/>
      <c r="W80" s="40"/>
      <c r="X80" s="42">
        <f t="shared" si="10"/>
        <v>0</v>
      </c>
      <c r="Y80" s="42">
        <f t="shared" si="11"/>
        <v>0</v>
      </c>
      <c r="Z80" s="42"/>
      <c r="AA80" s="42"/>
      <c r="AB80" s="40"/>
      <c r="AC80" s="40"/>
      <c r="AD80" s="42">
        <f t="shared" si="12"/>
        <v>0</v>
      </c>
      <c r="AE80" s="42">
        <f t="shared" si="13"/>
        <v>0</v>
      </c>
      <c r="AF80" s="42">
        <f>'Свод '!AH80+'Свод '!AZ80+'Свод '!BB80+'Свод '!CF80+'Свод '!DF80+'Свод '!DJ80+'Свод '!DP80+'Свод '!FB80+'Свод '!FH80+'Свод '!HD80+'Свод '!HP80+'Свод '!HX80+Лист1!R80+Лист1!AD80+X80</f>
        <v>6645.659370000001</v>
      </c>
      <c r="AG80" s="42">
        <f>'Свод '!AI80+'Свод '!BA80+'Свод '!BC80+'Свод '!CG80+'Свод '!DG80+'Свод '!DK80+'Свод '!DQ80+'Свод '!FC80+'Свод '!FI80+'Свод '!HE80+'Свод '!HQ80+'Свод '!HY80+Лист1!S80+Лист1!AE80+Y80</f>
        <v>6645.659370000001</v>
      </c>
      <c r="AH80" s="42">
        <f>'Свод '!B80+'Свод '!D80+'Свод '!F80+'Свод '!H80</f>
        <v>3515.0000000000005</v>
      </c>
      <c r="AI80" s="42">
        <f>'Свод '!C80+'Свод '!E80+'Свод '!G80+'Свод '!I80</f>
        <v>3515.0000000000005</v>
      </c>
      <c r="AJ80" s="39">
        <f>'Свод '!AB80+'Свод '!AD80+'Свод '!AL80+'Свод '!AN80+'Свод '!AP80+'Свод '!BD80+'Свод '!BF80+'Свод '!BH80+'Свод '!BJ80+'Свод '!BL80+'Свод '!BN80+'Свод '!BP80+'Свод '!BR80+'Свод '!BT80+'Свод '!BV80+'Свод '!BX80+'Свод '!BZ80+'Свод '!CH80+'Свод '!CJ80+'Свод '!CL80+'Свод '!CN80+'Свод '!CP80+'Свод '!CR80+'Свод '!CT80+'Свод '!CV80+'Свод '!CX80+'Свод '!CZ80+'Свод '!DB80+'Свод '!DH80+'Свод '!DN80+'Свод '!DR80+'Свод '!DT80+'Свод '!DV80+'Свод '!DX80+'Свод '!DZ80+'Свод '!EB80+'Свод '!ED80+'Свод '!EF80+'Свод '!EH80+'Свод '!EJ80+'Свод '!EL80+'Свод '!FJ80+'Свод '!FL80+'Свод '!FN80+'Свод '!FP80+'Свод '!FR80+'Свод '!FT80+'Свод '!FV80+'Свод '!FX80+'Свод '!FZ80+'Свод '!GB80+'Свод '!GD80+'Свод '!GF80+'Свод '!GH80+'Свод '!HF80+'Свод '!HH80+'Свод '!HJ80+'Свод '!HL80+'Свод '!HN80+'Свод '!HR80+Лист1!B80+Лист1!D80+Лист1!F80+Лист1!H80+Лист1!J80+Лист1!L80+Лист1!N80+Лист1!P80+'Свод '!DL80</f>
        <v>2983.6593700000003</v>
      </c>
      <c r="AK80" s="39">
        <f>'Свод '!AC80+'Свод '!AE80+'Свод '!AM80+'Свод '!AO80+'Свод '!AQ80+'Свод '!BE80+'Свод '!BG80+'Свод '!BI80+'Свод '!BK80+'Свод '!BM80+'Свод '!BO80+'Свод '!BQ80+'Свод '!BS80+'Свод '!BU80+'Свод '!BW80+'Свод '!BY80+'Свод '!CA80+'Свод '!CI80+'Свод '!CK80+'Свод '!CM80+'Свод '!CO80+'Свод '!CQ80+'Свод '!CS80+'Свод '!CU80+'Свод '!CW80+'Свод '!CY80+'Свод '!DA80+'Свод '!DC80+'Свод '!DI80+'Свод '!DO80+'Свод '!DS80+'Свод '!DU80+'Свод '!DW80+'Свод '!DY80+'Свод '!EA80+'Свод '!EC80+'Свод '!EE80+'Свод '!EG80+'Свод '!EI80+'Свод '!EK80+'Свод '!EM80+'Свод '!FK80+'Свод '!FM80+'Свод '!FO80+'Свод '!FQ80+'Свод '!FS80+'Свод '!FU80+'Свод '!FW80+'Свод '!FY80+'Свод '!GA80+'Свод '!GC80+'Свод '!GE80+'Свод '!GG80+'Свод '!GI80+'Свод '!HG80+'Свод '!HI80+'Свод '!HK80+'Свод '!HM80+'Свод '!HO80+'Свод '!HS80+Лист1!C80+Лист1!E80+Лист1!G80+Лист1!I80+Лист1!K80+Лист1!M80+Лист1!O80+Лист1!Q80+'Свод '!DM80</f>
        <v>2983.6593700000003</v>
      </c>
      <c r="AL80" s="144">
        <f>'Свод '!AF80+'Свод '!AJ80+'Свод '!BB80+'Свод '!CB80+'Свод '!CD80+'Свод '!EN80+'Свод '!FD80+'Свод '!FF80+'Свод '!GJ80+'Свод '!GL80+'Свод '!GN80+'Свод '!GP80+'Свод '!GR80+'Свод '!GT80+'Свод '!GV80+'Свод '!GX80+'Свод '!HT80+'Свод '!HV80</f>
        <v>147</v>
      </c>
      <c r="AM80" s="42">
        <f>'Свод '!AG80+'Свод '!AK80+'Свод '!BC80+'Свод '!CC80+'Свод '!CE80+'Свод '!EO80+'Свод '!FE80+'Свод '!FG80+'Свод '!GK80+'Свод '!GM80+'Свод '!GO80+'Свод '!GQ80+'Свод '!GS80+'Свод '!GU80+'Свод '!GW80+'Свод '!GY80+'Свод '!HU80+'Свод '!HW80</f>
        <v>147</v>
      </c>
      <c r="AN80" s="42">
        <f>'Свод '!J80+'Свод '!L80+'Свод '!N80+'Свод '!P80+'Свод '!R80+'Свод '!T80+'Свод '!V80+'Свод '!X80+'Свод '!Z80+'Свод '!AR80+'Свод '!AT80+'Свод '!AV80+'Свод '!AX80+'Свод '!DD80+'Свод '!EP80+'Свод '!ER80+'Свод '!ET80+'Свод '!EV80+'Свод '!EX80+'Свод '!EZ80+'Свод '!GZ80+'Свод '!HB80+T80+V80+Z80+AB80</f>
        <v>0</v>
      </c>
      <c r="AO80" s="42">
        <f>'Свод '!K80+'Свод '!M80+'Свод '!O80+'Свод '!Q80+'Свод '!S80+'Свод '!U80+'Свод '!W80+'Свод '!Y80+'Свод '!AA80+'Свод '!AS80+'Свод '!AU80+'Свод '!AW80+'Свод '!AY80+'Свод '!DE80+'Свод '!EQ80+'Свод '!ES80+'Свод '!EU80+'Свод '!EW80+'Свод '!EY80+'Свод '!FA80+'Свод '!HA80+'Свод '!HC80+U80+W80+AA80+AC80</f>
        <v>0</v>
      </c>
    </row>
    <row r="81" spans="1:41" ht="12.75">
      <c r="A81" s="109" t="s">
        <v>251</v>
      </c>
      <c r="B81" s="104"/>
      <c r="C81" s="42"/>
      <c r="D81" s="40"/>
      <c r="E81" s="40"/>
      <c r="F81" s="43"/>
      <c r="G81" s="46"/>
      <c r="H81" s="40"/>
      <c r="I81" s="40"/>
      <c r="J81" s="110"/>
      <c r="K81" s="42"/>
      <c r="L81" s="40"/>
      <c r="M81" s="40"/>
      <c r="N81" s="40"/>
      <c r="O81" s="40"/>
      <c r="P81" s="40"/>
      <c r="Q81" s="40"/>
      <c r="R81" s="42">
        <f t="shared" si="8"/>
        <v>0</v>
      </c>
      <c r="S81" s="42">
        <f t="shared" si="9"/>
        <v>0</v>
      </c>
      <c r="T81" s="42"/>
      <c r="U81" s="42"/>
      <c r="V81" s="40"/>
      <c r="W81" s="40"/>
      <c r="X81" s="42">
        <f t="shared" si="10"/>
        <v>0</v>
      </c>
      <c r="Y81" s="42">
        <f t="shared" si="11"/>
        <v>0</v>
      </c>
      <c r="Z81" s="42"/>
      <c r="AA81" s="42"/>
      <c r="AB81" s="40"/>
      <c r="AC81" s="40"/>
      <c r="AD81" s="42">
        <f t="shared" si="12"/>
        <v>0</v>
      </c>
      <c r="AE81" s="42">
        <f t="shared" si="13"/>
        <v>0</v>
      </c>
      <c r="AF81" s="42">
        <f>'Свод '!AH81+'Свод '!AZ81+'Свод '!BB81+'Свод '!CF81+'Свод '!DF81+'Свод '!DJ81+'Свод '!DP81+'Свод '!FB81+'Свод '!FH81+'Свод '!HD81+'Свод '!HP81+'Свод '!HX81+Лист1!R81+Лист1!AD81+X81</f>
        <v>5601</v>
      </c>
      <c r="AG81" s="42">
        <f>'Свод '!AI81+'Свод '!BA81+'Свод '!BC81+'Свод '!CG81+'Свод '!DG81+'Свод '!DK81+'Свод '!DQ81+'Свод '!FC81+'Свод '!FI81+'Свод '!HE81+'Свод '!HQ81+'Свод '!HY81+Лист1!S81+Лист1!AE81+Y81</f>
        <v>5601</v>
      </c>
      <c r="AH81" s="42">
        <f>'Свод '!B81+'Свод '!D81+'Свод '!F81+'Свод '!H81</f>
        <v>4904</v>
      </c>
      <c r="AI81" s="42">
        <f>'Свод '!C81+'Свод '!E81+'Свод '!G81+'Свод '!I81</f>
        <v>4904</v>
      </c>
      <c r="AJ81" s="39">
        <f>'Свод '!AB81+'Свод '!AD81+'Свод '!AL81+'Свод '!AN81+'Свод '!AP81+'Свод '!BD81+'Свод '!BF81+'Свод '!BH81+'Свод '!BJ81+'Свод '!BL81+'Свод '!BN81+'Свод '!BP81+'Свод '!BR81+'Свод '!BT81+'Свод '!BV81+'Свод '!BX81+'Свод '!BZ81+'Свод '!CH81+'Свод '!CJ81+'Свод '!CL81+'Свод '!CN81+'Свод '!CP81+'Свод '!CR81+'Свод '!CT81+'Свод '!CV81+'Свод '!CX81+'Свод '!CZ81+'Свод '!DB81+'Свод '!DH81+'Свод '!DN81+'Свод '!DR81+'Свод '!DT81+'Свод '!DV81+'Свод '!DX81+'Свод '!DZ81+'Свод '!EB81+'Свод '!ED81+'Свод '!EF81+'Свод '!EH81+'Свод '!EJ81+'Свод '!EL81+'Свод '!FJ81+'Свод '!FL81+'Свод '!FN81+'Свод '!FP81+'Свод '!FR81+'Свод '!FT81+'Свод '!FV81+'Свод '!FX81+'Свод '!FZ81+'Свод '!GB81+'Свод '!GD81+'Свод '!GF81+'Свод '!GH81+'Свод '!HF81+'Свод '!HH81+'Свод '!HJ81+'Свод '!HL81+'Свод '!HN81+'Свод '!HR81+Лист1!B81+Лист1!D81+Лист1!F81+Лист1!H81+Лист1!J81+Лист1!L81+Лист1!N81+Лист1!P81+'Свод '!DL81</f>
        <v>0</v>
      </c>
      <c r="AK81" s="39">
        <f>'Свод '!AC81+'Свод '!AE81+'Свод '!AM81+'Свод '!AO81+'Свод '!AQ81+'Свод '!BE81+'Свод '!BG81+'Свод '!BI81+'Свод '!BK81+'Свод '!BM81+'Свод '!BO81+'Свод '!BQ81+'Свод '!BS81+'Свод '!BU81+'Свод '!BW81+'Свод '!BY81+'Свод '!CA81+'Свод '!CI81+'Свод '!CK81+'Свод '!CM81+'Свод '!CO81+'Свод '!CQ81+'Свод '!CS81+'Свод '!CU81+'Свод '!CW81+'Свод '!CY81+'Свод '!DA81+'Свод '!DC81+'Свод '!DI81+'Свод '!DO81+'Свод '!DS81+'Свод '!DU81+'Свод '!DW81+'Свод '!DY81+'Свод '!EA81+'Свод '!EC81+'Свод '!EE81+'Свод '!EG81+'Свод '!EI81+'Свод '!EK81+'Свод '!EM81+'Свод '!FK81+'Свод '!FM81+'Свод '!FO81+'Свод '!FQ81+'Свод '!FS81+'Свод '!FU81+'Свод '!FW81+'Свод '!FY81+'Свод '!GA81+'Свод '!GC81+'Свод '!GE81+'Свод '!GG81+'Свод '!GI81+'Свод '!HG81+'Свод '!HI81+'Свод '!HK81+'Свод '!HM81+'Свод '!HO81+'Свод '!HS81+Лист1!C81+Лист1!E81+Лист1!G81+Лист1!I81+Лист1!K81+Лист1!M81+Лист1!O81+Лист1!Q81+'Свод '!DM81</f>
        <v>0</v>
      </c>
      <c r="AL81" s="144">
        <f>'Свод '!AF81+'Свод '!AJ81+'Свод '!BB81+'Свод '!CB81+'Свод '!CD81+'Свод '!EN81+'Свод '!FD81+'Свод '!FF81+'Свод '!GJ81+'Свод '!GL81+'Свод '!GN81+'Свод '!GP81+'Свод '!GR81+'Свод '!GT81+'Свод '!GV81+'Свод '!GX81+'Свод '!HT81+'Свод '!HV81</f>
        <v>147</v>
      </c>
      <c r="AM81" s="42">
        <f>'Свод '!AG81+'Свод '!AK81+'Свод '!BC81+'Свод '!CC81+'Свод '!CE81+'Свод '!EO81+'Свод '!FE81+'Свод '!FG81+'Свод '!GK81+'Свод '!GM81+'Свод '!GO81+'Свод '!GQ81+'Свод '!GS81+'Свод '!GU81+'Свод '!GW81+'Свод '!GY81+'Свод '!HU81+'Свод '!HW81</f>
        <v>147</v>
      </c>
      <c r="AN81" s="42">
        <f>'Свод '!J81+'Свод '!L81+'Свод '!N81+'Свод '!P81+'Свод '!R81+'Свод '!T81+'Свод '!V81+'Свод '!X81+'Свод '!Z81+'Свод '!AR81+'Свод '!AT81+'Свод '!AV81+'Свод '!AX81+'Свод '!DD81+'Свод '!EP81+'Свод '!ER81+'Свод '!ET81+'Свод '!EV81+'Свод '!EX81+'Свод '!EZ81+'Свод '!GZ81+'Свод '!HB81+T81+V81+Z81+AB81</f>
        <v>550</v>
      </c>
      <c r="AO81" s="42">
        <f>'Свод '!K81+'Свод '!M81+'Свод '!O81+'Свод '!Q81+'Свод '!S81+'Свод '!U81+'Свод '!W81+'Свод '!Y81+'Свод '!AA81+'Свод '!AS81+'Свод '!AU81+'Свод '!AW81+'Свод '!AY81+'Свод '!DE81+'Свод '!EQ81+'Свод '!ES81+'Свод '!EU81+'Свод '!EW81+'Свод '!EY81+'Свод '!FA81+'Свод '!HA81+'Свод '!HC81+U81+W81+AA81+AC81</f>
        <v>550</v>
      </c>
    </row>
    <row r="82" spans="1:41" ht="24" customHeight="1">
      <c r="A82" s="108" t="s">
        <v>132</v>
      </c>
      <c r="B82" s="104">
        <v>11584</v>
      </c>
      <c r="C82" s="42">
        <v>8404.341</v>
      </c>
      <c r="D82" s="40">
        <f>SUM(D83:D89)</f>
        <v>0</v>
      </c>
      <c r="E82" s="40">
        <f>SUM(E83:E89)</f>
        <v>0</v>
      </c>
      <c r="F82" s="43">
        <v>2103</v>
      </c>
      <c r="G82" s="46">
        <v>1823.20075</v>
      </c>
      <c r="H82" s="40">
        <f>SUM(H83:H89)</f>
        <v>0</v>
      </c>
      <c r="I82" s="40">
        <f>SUM(I83:I89)</f>
        <v>0</v>
      </c>
      <c r="J82" s="104">
        <v>29638.7</v>
      </c>
      <c r="K82" s="42">
        <v>29479.65768</v>
      </c>
      <c r="L82" s="47">
        <v>0</v>
      </c>
      <c r="M82" s="47">
        <v>0</v>
      </c>
      <c r="N82" s="47">
        <f>SUM(N83:N89)</f>
        <v>0</v>
      </c>
      <c r="O82" s="47">
        <f>SUM(O83:O89)</f>
        <v>0</v>
      </c>
      <c r="P82" s="47">
        <f>SUM(P83:P89)</f>
        <v>0</v>
      </c>
      <c r="Q82" s="47">
        <f>SUM(Q83:Q89)</f>
        <v>0</v>
      </c>
      <c r="R82" s="42">
        <f t="shared" si="8"/>
        <v>43325.7</v>
      </c>
      <c r="S82" s="42">
        <f t="shared" si="9"/>
        <v>39707.19943</v>
      </c>
      <c r="T82" s="40">
        <v>0</v>
      </c>
      <c r="U82" s="40">
        <v>0</v>
      </c>
      <c r="V82" s="40">
        <v>0</v>
      </c>
      <c r="W82" s="40">
        <v>0</v>
      </c>
      <c r="X82" s="42">
        <f t="shared" si="10"/>
        <v>0</v>
      </c>
      <c r="Y82" s="42">
        <f t="shared" si="11"/>
        <v>0</v>
      </c>
      <c r="Z82" s="42">
        <v>0</v>
      </c>
      <c r="AA82" s="42">
        <v>0</v>
      </c>
      <c r="AB82" s="40">
        <v>0</v>
      </c>
      <c r="AC82" s="40">
        <v>0</v>
      </c>
      <c r="AD82" s="42">
        <f t="shared" si="12"/>
        <v>0</v>
      </c>
      <c r="AE82" s="42">
        <f t="shared" si="13"/>
        <v>0</v>
      </c>
      <c r="AF82" s="42">
        <f>'Свод '!AH82+'Свод '!AZ82+'Свод '!BB82+'Свод '!CF82+'Свод '!DF82+'Свод '!DJ82+'Свод '!DP82+'Свод '!FB82+'Свод '!FH82+'Свод '!HD82+'Свод '!HP82+'Свод '!HX82+Лист1!R82+Лист1!AD82+X82</f>
        <v>646926.7022299998</v>
      </c>
      <c r="AG82" s="42">
        <f>'Свод '!AI82+'Свод '!BA82+'Свод '!BC82+'Свод '!CG82+'Свод '!DG82+'Свод '!DK82+'Свод '!DQ82+'Свод '!FC82+'Свод '!FI82+'Свод '!HE82+'Свод '!HQ82+'Свод '!HY82+Лист1!S82+Лист1!AE82+Y82</f>
        <v>596896.38751</v>
      </c>
      <c r="AH82" s="42">
        <f>'Свод '!B82+'Свод '!D82+'Свод '!F82+'Свод '!H82</f>
        <v>65802</v>
      </c>
      <c r="AI82" s="42">
        <f>'Свод '!C82+'Свод '!E82+'Свод '!G82+'Свод '!I82</f>
        <v>65802</v>
      </c>
      <c r="AJ82" s="39">
        <f>'Свод '!AB82+'Свод '!AD82+'Свод '!AL82+'Свод '!AN82+'Свод '!AP82+'Свод '!BD82+'Свод '!BF82+'Свод '!BH82+'Свод '!BJ82+'Свод '!BL82+'Свод '!BN82+'Свод '!BP82+'Свод '!BR82+'Свод '!BT82+'Свод '!BV82+'Свод '!BX82+'Свод '!BZ82+'Свод '!CH82+'Свод '!CJ82+'Свод '!CL82+'Свод '!CN82+'Свод '!CP82+'Свод '!CR82+'Свод '!CT82+'Свод '!CV82+'Свод '!CX82+'Свод '!CZ82+'Свод '!DB82+'Свод '!DH82+'Свод '!DN82+'Свод '!DR82+'Свод '!DT82+'Свод '!DV82+'Свод '!DX82+'Свод '!DZ82+'Свод '!EB82+'Свод '!ED82+'Свод '!EF82+'Свод '!EH82+'Свод '!EJ82+'Свод '!EL82+'Свод '!FJ82+'Свод '!FL82+'Свод '!FN82+'Свод '!FP82+'Свод '!FR82+'Свод '!FT82+'Свод '!FV82+'Свод '!FX82+'Свод '!FZ82+'Свод '!GB82+'Свод '!GD82+'Свод '!GF82+'Свод '!GH82+'Свод '!HF82+'Свод '!HH82+'Свод '!HJ82+'Свод '!HL82+'Свод '!HN82+'Свод '!HR82+Лист1!B82+Лист1!D82+Лист1!F82+Лист1!H82+Лист1!J82+Лист1!L82+Лист1!N82+Лист1!P82+'Свод '!DL82</f>
        <v>230140.65305999998</v>
      </c>
      <c r="AK82" s="39">
        <f>'Свод '!AC82+'Свод '!AE82+'Свод '!AM82+'Свод '!AO82+'Свод '!AQ82+'Свод '!BE82+'Свод '!BG82+'Свод '!BI82+'Свод '!BK82+'Свод '!BM82+'Свод '!BO82+'Свод '!BQ82+'Свод '!BS82+'Свод '!BU82+'Свод '!BW82+'Свод '!BY82+'Свод '!CA82+'Свод '!CI82+'Свод '!CK82+'Свод '!CM82+'Свод '!CO82+'Свод '!CQ82+'Свод '!CS82+'Свод '!CU82+'Свод '!CW82+'Свод '!CY82+'Свод '!DA82+'Свод '!DC82+'Свод '!DI82+'Свод '!DO82+'Свод '!DS82+'Свод '!DU82+'Свод '!DW82+'Свод '!DY82+'Свод '!EA82+'Свод '!EC82+'Свод '!EE82+'Свод '!EG82+'Свод '!EI82+'Свод '!EK82+'Свод '!EM82+'Свод '!FK82+'Свод '!FM82+'Свод '!FO82+'Свод '!FQ82+'Свод '!FS82+'Свод '!FU82+'Свод '!FW82+'Свод '!FY82+'Свод '!GA82+'Свод '!GC82+'Свод '!GE82+'Свод '!GG82+'Свод '!GI82+'Свод '!HG82+'Свод '!HI82+'Свод '!HK82+'Свод '!HM82+'Свод '!HO82+'Свод '!HS82+Лист1!C82+Лист1!E82+Лист1!G82+Лист1!I82+Лист1!K82+Лист1!M82+Лист1!O82+Лист1!Q82+'Свод '!DM82</f>
        <v>180131.86849</v>
      </c>
      <c r="AL82" s="144">
        <f>'Свод '!AF82+'Свод '!AJ82+'Свод '!BB82+'Свод '!CB82+'Свод '!CD82+'Свод '!EN82+'Свод '!FD82+'Свод '!FF82+'Свод '!GJ82+'Свод '!GL82+'Свод '!GN82+'Свод '!GP82+'Свод '!GR82+'Свод '!GT82+'Свод '!GV82+'Свод '!GX82+'Свод '!HT82+'Свод '!HV82</f>
        <v>324742.789</v>
      </c>
      <c r="AM82" s="42">
        <f>'Свод '!AG82+'Свод '!AK82+'Свод '!BC82+'Свод '!CC82+'Свод '!CE82+'Свод '!EO82+'Свод '!FE82+'Свод '!FG82+'Свод '!GK82+'Свод '!GM82+'Свод '!GO82+'Свод '!GQ82+'Свод '!GS82+'Свод '!GU82+'Свод '!GW82+'Свод '!GY82+'Свод '!HU82+'Свод '!HW82</f>
        <v>324732.869</v>
      </c>
      <c r="AN82" s="42">
        <f>'Свод '!J82+'Свод '!L82+'Свод '!N82+'Свод '!P82+'Свод '!R82+'Свод '!T82+'Свод '!V82+'Свод '!X82+'Свод '!Z82+'Свод '!AR82+'Свод '!AT82+'Свод '!AV82+'Свод '!AX82+'Свод '!DD82+'Свод '!EP82+'Свод '!ER82+'Свод '!ET82+'Свод '!EV82+'Свод '!EX82+'Свод '!EZ82+'Свод '!GZ82+'Свод '!HB82+T82+V82+Z82+AB82</f>
        <v>26241.260169999998</v>
      </c>
      <c r="AO82" s="42">
        <f>'Свод '!K82+'Свод '!M82+'Свод '!O82+'Свод '!Q82+'Свод '!S82+'Свод '!U82+'Свод '!W82+'Свод '!Y82+'Свод '!AA82+'Свод '!AS82+'Свод '!AU82+'Свод '!AW82+'Свод '!AY82+'Свод '!DE82+'Свод '!EQ82+'Свод '!ES82+'Свод '!EU82+'Свод '!EW82+'Свод '!EY82+'Свод '!FA82+'Свод '!HA82+'Свод '!HC82+U82+W82+AA82+AC82</f>
        <v>26229.650019999997</v>
      </c>
    </row>
    <row r="83" spans="1:41" ht="12.75">
      <c r="A83" s="103" t="s">
        <v>156</v>
      </c>
      <c r="B83" s="104"/>
      <c r="C83" s="42"/>
      <c r="D83" s="40"/>
      <c r="E83" s="40"/>
      <c r="F83" s="43">
        <v>81</v>
      </c>
      <c r="G83" s="42">
        <v>52.201800000000006</v>
      </c>
      <c r="H83" s="40"/>
      <c r="I83" s="40"/>
      <c r="J83" s="105"/>
      <c r="K83" s="42"/>
      <c r="L83" s="40"/>
      <c r="M83" s="40"/>
      <c r="N83" s="40"/>
      <c r="O83" s="40"/>
      <c r="P83" s="40"/>
      <c r="Q83" s="40"/>
      <c r="R83" s="42">
        <f t="shared" si="8"/>
        <v>81</v>
      </c>
      <c r="S83" s="42">
        <f t="shared" si="9"/>
        <v>52.201800000000006</v>
      </c>
      <c r="T83" s="42"/>
      <c r="U83" s="42"/>
      <c r="V83" s="40"/>
      <c r="W83" s="40"/>
      <c r="X83" s="42">
        <f t="shared" si="10"/>
        <v>0</v>
      </c>
      <c r="Y83" s="42">
        <f t="shared" si="11"/>
        <v>0</v>
      </c>
      <c r="Z83" s="42"/>
      <c r="AA83" s="42"/>
      <c r="AB83" s="40"/>
      <c r="AC83" s="40"/>
      <c r="AD83" s="42">
        <f t="shared" si="12"/>
        <v>0</v>
      </c>
      <c r="AE83" s="42">
        <f t="shared" si="13"/>
        <v>0</v>
      </c>
      <c r="AF83" s="42">
        <f>'Свод '!AH83+'Свод '!AZ83+'Свод '!BB83+'Свод '!CF83+'Свод '!DF83+'Свод '!DJ83+'Свод '!DP83+'Свод '!FB83+'Свод '!FH83+'Свод '!HD83+'Свод '!HP83+'Свод '!HX83+Лист1!R83+Лист1!AD83+X83</f>
        <v>535885.3189999999</v>
      </c>
      <c r="AG83" s="42">
        <f>'Свод '!AI83+'Свод '!BA83+'Свод '!BC83+'Свод '!CG83+'Свод '!DG83+'Свод '!DK83+'Свод '!DQ83+'Свод '!FC83+'Свод '!FI83+'Свод '!HE83+'Свод '!HQ83+'Свод '!HY83+Лист1!S83+Лист1!AE83+Y83</f>
        <v>489672.2337999999</v>
      </c>
      <c r="AH83" s="42">
        <f>'Свод '!B83+'Свод '!D83+'Свод '!F83+'Свод '!H83</f>
        <v>47879.00000000001</v>
      </c>
      <c r="AI83" s="42">
        <f>'Свод '!C83+'Свод '!E83+'Свод '!G83+'Свод '!I83</f>
        <v>47879.00000000001</v>
      </c>
      <c r="AJ83" s="39">
        <f>'Свод '!AB83+'Свод '!AD83+'Свод '!AL83+'Свод '!AN83+'Свод '!AP83+'Свод '!BD83+'Свод '!BF83+'Свод '!BH83+'Свод '!BJ83+'Свод '!BL83+'Свод '!BN83+'Свод '!BP83+'Свод '!BR83+'Свод '!BT83+'Свод '!BV83+'Свод '!BX83+'Свод '!BZ83+'Свод '!CH83+'Свод '!CJ83+'Свод '!CL83+'Свод '!CN83+'Свод '!CP83+'Свод '!CR83+'Свод '!CT83+'Свод '!CV83+'Свод '!CX83+'Свод '!CZ83+'Свод '!DB83+'Свод '!DH83+'Свод '!DN83+'Свод '!DR83+'Свод '!DT83+'Свод '!DV83+'Свод '!DX83+'Свод '!DZ83+'Свод '!EB83+'Свод '!ED83+'Свод '!EF83+'Свод '!EH83+'Свод '!EJ83+'Свод '!EL83+'Свод '!FJ83+'Свод '!FL83+'Свод '!FN83+'Свод '!FP83+'Свод '!FR83+'Свод '!FT83+'Свод '!FV83+'Свод '!FX83+'Свод '!FZ83+'Свод '!GB83+'Свод '!GD83+'Свод '!GF83+'Свод '!GH83+'Свод '!HF83+'Свод '!HH83+'Свод '!HJ83+'Свод '!HL83+'Свод '!HN83+'Свод '!HR83+Лист1!B83+Лист1!D83+Лист1!F83+Лист1!H83+Лист1!J83+Лист1!L83+Лист1!N83+Лист1!P83+'Свод '!DL83</f>
        <v>161874.72999999998</v>
      </c>
      <c r="AK83" s="39">
        <f>'Свод '!AC83+'Свод '!AE83+'Свод '!AM83+'Свод '!AO83+'Свод '!AQ83+'Свод '!BE83+'Свод '!BG83+'Свод '!BI83+'Свод '!BK83+'Свод '!BM83+'Свод '!BO83+'Свод '!BQ83+'Свод '!BS83+'Свод '!BU83+'Свод '!BW83+'Свод '!BY83+'Свод '!CA83+'Свод '!CI83+'Свод '!CK83+'Свод '!CM83+'Свод '!CO83+'Свод '!CQ83+'Свод '!CS83+'Свод '!CU83+'Свод '!CW83+'Свод '!CY83+'Свод '!DA83+'Свод '!DC83+'Свод '!DI83+'Свод '!DO83+'Свод '!DS83+'Свод '!DU83+'Свод '!DW83+'Свод '!DY83+'Свод '!EA83+'Свод '!EC83+'Свод '!EE83+'Свод '!EG83+'Свод '!EI83+'Свод '!EK83+'Свод '!EM83+'Свод '!FK83+'Свод '!FM83+'Свод '!FO83+'Свод '!FQ83+'Свод '!FS83+'Свод '!FU83+'Свод '!FW83+'Свод '!FY83+'Свод '!GA83+'Свод '!GC83+'Свод '!GE83+'Свод '!GG83+'Свод '!GI83+'Свод '!HG83+'Свод '!HI83+'Свод '!HK83+'Свод '!HM83+'Свод '!HO83+'Свод '!HS83+Лист1!C83+Лист1!E83+Лист1!G83+Лист1!I83+Лист1!K83+Лист1!M83+Лист1!O83+Лист1!Q83+'Свод '!DM83</f>
        <v>115671.56479999998</v>
      </c>
      <c r="AL83" s="144">
        <f>'Свод '!AF83+'Свод '!AJ83+'Свод '!BB83+'Свод '!CB83+'Свод '!CD83+'Свод '!EN83+'Свод '!FD83+'Свод '!FF83+'Свод '!GJ83+'Свод '!GL83+'Свод '!GN83+'Свод '!GP83+'Свод '!GR83+'Свод '!GT83+'Свод '!GV83+'Свод '!GX83+'Свод '!HT83+'Свод '!HV83</f>
        <v>324007.789</v>
      </c>
      <c r="AM83" s="42">
        <f>'Свод '!AG83+'Свод '!AK83+'Свод '!BC83+'Свод '!CC83+'Свод '!CE83+'Свод '!EO83+'Свод '!FE83+'Свод '!FG83+'Свод '!GK83+'Свод '!GM83+'Свод '!GO83+'Свод '!GQ83+'Свод '!GS83+'Свод '!GU83+'Свод '!GW83+'Свод '!GY83+'Свод '!HU83+'Свод '!HW83</f>
        <v>323997.869</v>
      </c>
      <c r="AN83" s="42">
        <f>'Свод '!J83+'Свод '!L83+'Свод '!N83+'Свод '!P83+'Свод '!R83+'Свод '!T83+'Свод '!V83+'Свод '!X83+'Свод '!Z83+'Свод '!AR83+'Свод '!AT83+'Свод '!AV83+'Свод '!AX83+'Свод '!DD83+'Свод '!EP83+'Свод '!ER83+'Свод '!ET83+'Свод '!EV83+'Свод '!EX83+'Свод '!EZ83+'Свод '!GZ83+'Свод '!HB83+T83+V83+Z83+AB83</f>
        <v>2123.8</v>
      </c>
      <c r="AO83" s="42">
        <f>'Свод '!K83+'Свод '!M83+'Свод '!O83+'Свод '!Q83+'Свод '!S83+'Свод '!U83+'Свод '!W83+'Свод '!Y83+'Свод '!AA83+'Свод '!AS83+'Свод '!AU83+'Свод '!AW83+'Свод '!AY83+'Свод '!DE83+'Свод '!EQ83+'Свод '!ES83+'Свод '!EU83+'Свод '!EW83+'Свод '!EY83+'Свод '!FA83+'Свод '!HA83+'Свод '!HC83+U83+W83+AA83+AC83</f>
        <v>2123.8</v>
      </c>
    </row>
    <row r="84" spans="1:41" ht="12.75" customHeight="1">
      <c r="A84" s="109" t="s">
        <v>213</v>
      </c>
      <c r="B84" s="104"/>
      <c r="C84" s="42"/>
      <c r="D84" s="40"/>
      <c r="E84" s="40"/>
      <c r="F84" s="43">
        <v>2022</v>
      </c>
      <c r="G84" s="42">
        <v>1770.99895</v>
      </c>
      <c r="H84" s="40"/>
      <c r="I84" s="40"/>
      <c r="J84" s="104">
        <v>27377.7</v>
      </c>
      <c r="K84" s="42">
        <v>27286.32968</v>
      </c>
      <c r="L84" s="40"/>
      <c r="M84" s="40"/>
      <c r="N84" s="40"/>
      <c r="O84" s="40"/>
      <c r="P84" s="40"/>
      <c r="Q84" s="40"/>
      <c r="R84" s="42">
        <f t="shared" si="8"/>
        <v>29399.7</v>
      </c>
      <c r="S84" s="42">
        <f t="shared" si="9"/>
        <v>29057.32863</v>
      </c>
      <c r="T84" s="42"/>
      <c r="U84" s="42"/>
      <c r="V84" s="40"/>
      <c r="W84" s="40"/>
      <c r="X84" s="42">
        <f t="shared" si="10"/>
        <v>0</v>
      </c>
      <c r="Y84" s="42">
        <f t="shared" si="11"/>
        <v>0</v>
      </c>
      <c r="Z84" s="42"/>
      <c r="AA84" s="42"/>
      <c r="AB84" s="40"/>
      <c r="AC84" s="40"/>
      <c r="AD84" s="42">
        <f t="shared" si="12"/>
        <v>0</v>
      </c>
      <c r="AE84" s="42">
        <f t="shared" si="13"/>
        <v>0</v>
      </c>
      <c r="AF84" s="42">
        <f>'Свод '!AH84+'Свод '!AZ84+'Свод '!BB84+'Свод '!CF84+'Свод '!DF84+'Свод '!DJ84+'Свод '!DP84+'Свод '!FB84+'Свод '!FH84+'Свод '!HD84+'Свод '!HP84+'Свод '!HX84+Лист1!R84+Лист1!AD84+X84</f>
        <v>70531.85594</v>
      </c>
      <c r="AG84" s="42">
        <f>'Свод '!AI84+'Свод '!BA84+'Свод '!BC84+'Свод '!CG84+'Свод '!DG84+'Свод '!DK84+'Свод '!DQ84+'Свод '!FC84+'Свод '!FI84+'Свод '!HE84+'Свод '!HQ84+'Свод '!HY84+Лист1!S84+Лист1!AE84+Y84</f>
        <v>69988.8259</v>
      </c>
      <c r="AH84" s="42">
        <f>'Свод '!B84+'Свод '!D84+'Свод '!F84+'Свод '!H84</f>
        <v>7606</v>
      </c>
      <c r="AI84" s="42">
        <f>'Свод '!C84+'Свод '!E84+'Свод '!G84+'Свод '!I84</f>
        <v>7606</v>
      </c>
      <c r="AJ84" s="39">
        <f>'Свод '!AB84+'Свод '!AD84+'Свод '!AL84+'Свод '!AN84+'Свод '!AP84+'Свод '!BD84+'Свод '!BF84+'Свод '!BH84+'Свод '!BJ84+'Свод '!BL84+'Свод '!BN84+'Свод '!BP84+'Свод '!BR84+'Свод '!BT84+'Свод '!BV84+'Свод '!BX84+'Свод '!BZ84+'Свод '!CH84+'Свод '!CJ84+'Свод '!CL84+'Свод '!CN84+'Свод '!CP84+'Свод '!CR84+'Свод '!CT84+'Свод '!CV84+'Свод '!CX84+'Свод '!CZ84+'Свод '!DB84+'Свод '!DH84+'Свод '!DN84+'Свод '!DR84+'Свод '!DT84+'Свод '!DV84+'Свод '!DX84+'Свод '!DZ84+'Свод '!EB84+'Свод '!ED84+'Свод '!EF84+'Свод '!EH84+'Свод '!EJ84+'Свод '!EL84+'Свод '!FJ84+'Свод '!FL84+'Свод '!FN84+'Свод '!FP84+'Свод '!FR84+'Свод '!FT84+'Свод '!FV84+'Свод '!FX84+'Свод '!FZ84+'Свод '!GB84+'Свод '!GD84+'Свод '!GF84+'Свод '!GH84+'Свод '!HF84+'Свод '!HH84+'Свод '!HJ84+'Свод '!HL84+'Свод '!HN84+'Свод '!HR84+Лист1!B84+Лист1!D84+Лист1!F84+Лист1!H84+Лист1!J84+Лист1!L84+Лист1!N84+Лист1!P84+'Свод '!DL84</f>
        <v>45457.973060000004</v>
      </c>
      <c r="AK84" s="39">
        <f>'Свод '!AC84+'Свод '!AE84+'Свод '!AM84+'Свод '!AO84+'Свод '!AQ84+'Свод '!BE84+'Свод '!BG84+'Свод '!BI84+'Свод '!BK84+'Свод '!BM84+'Свод '!BO84+'Свод '!BQ84+'Свод '!BS84+'Свод '!BU84+'Свод '!BW84+'Свод '!BY84+'Свод '!CA84+'Свод '!CI84+'Свод '!CK84+'Свод '!CM84+'Свод '!CO84+'Свод '!CQ84+'Свод '!CS84+'Свод '!CU84+'Свод '!CW84+'Свод '!CY84+'Свод '!DA84+'Свод '!DC84+'Свод '!DI84+'Свод '!DO84+'Свод '!DS84+'Свод '!DU84+'Свод '!DW84+'Свод '!DY84+'Свод '!EA84+'Свод '!EC84+'Свод '!EE84+'Свод '!EG84+'Свод '!EI84+'Свод '!EK84+'Свод '!EM84+'Свод '!FK84+'Свод '!FM84+'Свод '!FO84+'Свод '!FQ84+'Свод '!FS84+'Свод '!FU84+'Свод '!FW84+'Свод '!FY84+'Свод '!GA84+'Свод '!GC84+'Свод '!GE84+'Свод '!GG84+'Свод '!GI84+'Свод '!HG84+'Свод '!HI84+'Свод '!HK84+'Свод '!HM84+'Свод '!HO84+'Свод '!HS84+Лист1!C84+Лист1!E84+Лист1!G84+Лист1!I84+Лист1!K84+Лист1!M84+Лист1!O84+Лист1!Q84+'Свод '!DM84</f>
        <v>44924.48469</v>
      </c>
      <c r="AL84" s="144">
        <f>'Свод '!AF84+'Свод '!AJ84+'Свод '!BB84+'Свод '!CB84+'Свод '!CD84+'Свод '!EN84+'Свод '!FD84+'Свод '!FF84+'Свод '!GJ84+'Свод '!GL84+'Свод '!GN84+'Свод '!GP84+'Свод '!GR84+'Свод '!GT84+'Свод '!GV84+'Свод '!GX84+'Свод '!HT84+'Свод '!HV84</f>
        <v>0</v>
      </c>
      <c r="AM84" s="42">
        <f>'Свод '!AG84+'Свод '!AK84+'Свод '!BC84+'Свод '!CC84+'Свод '!CE84+'Свод '!EO84+'Свод '!FE84+'Свод '!FG84+'Свод '!GK84+'Свод '!GM84+'Свод '!GO84+'Свод '!GQ84+'Свод '!GS84+'Свод '!GU84+'Свод '!GW84+'Свод '!GY84+'Свод '!HU84+'Свод '!HW84</f>
        <v>0</v>
      </c>
      <c r="AN84" s="42">
        <f>'Свод '!J84+'Свод '!L84+'Свод '!N84+'Свод '!P84+'Свод '!R84+'Свод '!T84+'Свод '!V84+'Свод '!X84+'Свод '!Z84+'Свод '!AR84+'Свод '!AT84+'Свод '!AV84+'Свод '!AX84+'Свод '!DD84+'Свод '!EP84+'Свод '!ER84+'Свод '!ET84+'Свод '!EV84+'Свод '!EX84+'Свод '!EZ84+'Свод '!GZ84+'Свод '!HB84+T84+V84+Z84+AB84</f>
        <v>17467.88288</v>
      </c>
      <c r="AO84" s="42">
        <f>'Свод '!K84+'Свод '!M84+'Свод '!O84+'Свод '!Q84+'Свод '!S84+'Свод '!U84+'Свод '!W84+'Свод '!Y84+'Свод '!AA84+'Свод '!AS84+'Свод '!AU84+'Свод '!AW84+'Свод '!AY84+'Свод '!DE84+'Свод '!EQ84+'Свод '!ES84+'Свод '!EU84+'Свод '!EW84+'Свод '!EY84+'Свод '!FA84+'Свод '!HA84+'Свод '!HC84+U84+W84+AA84+AC84</f>
        <v>17458.34121</v>
      </c>
    </row>
    <row r="85" spans="1:41" ht="12.75">
      <c r="A85" s="109" t="s">
        <v>252</v>
      </c>
      <c r="B85" s="104"/>
      <c r="C85" s="42"/>
      <c r="D85" s="40"/>
      <c r="E85" s="40"/>
      <c r="F85" s="43"/>
      <c r="G85" s="46"/>
      <c r="H85" s="40"/>
      <c r="I85" s="40"/>
      <c r="J85" s="110"/>
      <c r="K85" s="42"/>
      <c r="L85" s="40"/>
      <c r="M85" s="40"/>
      <c r="N85" s="40"/>
      <c r="O85" s="40"/>
      <c r="P85" s="40"/>
      <c r="Q85" s="40"/>
      <c r="R85" s="42">
        <f t="shared" si="8"/>
        <v>0</v>
      </c>
      <c r="S85" s="42">
        <f t="shared" si="9"/>
        <v>0</v>
      </c>
      <c r="T85" s="42"/>
      <c r="U85" s="42"/>
      <c r="V85" s="40"/>
      <c r="W85" s="40"/>
      <c r="X85" s="42">
        <f t="shared" si="10"/>
        <v>0</v>
      </c>
      <c r="Y85" s="42">
        <f t="shared" si="11"/>
        <v>0</v>
      </c>
      <c r="Z85" s="42"/>
      <c r="AA85" s="42"/>
      <c r="AB85" s="40"/>
      <c r="AC85" s="40"/>
      <c r="AD85" s="42">
        <f t="shared" si="12"/>
        <v>0</v>
      </c>
      <c r="AE85" s="42">
        <f t="shared" si="13"/>
        <v>0</v>
      </c>
      <c r="AF85" s="42">
        <f>'Свод '!AH85+'Свод '!AZ85+'Свод '!BB85+'Свод '!CF85+'Свод '!DF85+'Свод '!DJ85+'Свод '!DP85+'Свод '!FB85+'Свод '!FH85+'Свод '!HD85+'Свод '!HP85+'Свод '!HX85+Лист1!R85+Лист1!AD85+X85</f>
        <v>11725.834350000001</v>
      </c>
      <c r="AG85" s="42">
        <f>'Свод '!AI85+'Свод '!BA85+'Свод '!BC85+'Свод '!CG85+'Свод '!DG85+'Свод '!DK85+'Свод '!DQ85+'Свод '!FC85+'Свод '!FI85+'Свод '!HE85+'Свод '!HQ85+'Свод '!HY85+Лист1!S85+Лист1!AE85+Y85</f>
        <v>11722.006159999999</v>
      </c>
      <c r="AH85" s="42">
        <f>'Свод '!B85+'Свод '!D85+'Свод '!F85+'Свод '!H85</f>
        <v>1213</v>
      </c>
      <c r="AI85" s="42">
        <f>'Свод '!C85+'Свод '!E85+'Свод '!G85+'Свод '!I85</f>
        <v>1213</v>
      </c>
      <c r="AJ85" s="39">
        <f>'Свод '!AB85+'Свод '!AD85+'Свод '!AL85+'Свод '!AN85+'Свод '!AP85+'Свод '!BD85+'Свод '!BF85+'Свод '!BH85+'Свод '!BJ85+'Свод '!BL85+'Свод '!BN85+'Свод '!BP85+'Свод '!BR85+'Свод '!BT85+'Свод '!BV85+'Свод '!BX85+'Свод '!BZ85+'Свод '!CH85+'Свод '!CJ85+'Свод '!CL85+'Свод '!CN85+'Свод '!CP85+'Свод '!CR85+'Свод '!CT85+'Свод '!CV85+'Свод '!CX85+'Свод '!CZ85+'Свод '!DB85+'Свод '!DH85+'Свод '!DN85+'Свод '!DR85+'Свод '!DT85+'Свод '!DV85+'Свод '!DX85+'Свод '!DZ85+'Свод '!EB85+'Свод '!ED85+'Свод '!EF85+'Свод '!EH85+'Свод '!EJ85+'Свод '!EL85+'Свод '!FJ85+'Свод '!FL85+'Свод '!FN85+'Свод '!FP85+'Свод '!FR85+'Свод '!FT85+'Свод '!FV85+'Свод '!FX85+'Свод '!FZ85+'Свод '!GB85+'Свод '!GD85+'Свод '!GF85+'Свод '!GH85+'Свод '!HF85+'Свод '!HH85+'Свод '!HJ85+'Свод '!HL85+'Свод '!HN85+'Свод '!HR85+Лист1!B85+Лист1!D85+Лист1!F85+Лист1!H85+Лист1!J85+Лист1!L85+Лист1!N85+Лист1!P85+'Свод '!DL85</f>
        <v>5771.45</v>
      </c>
      <c r="AK85" s="39">
        <f>'Свод '!AC85+'Свод '!AE85+'Свод '!AM85+'Свод '!AO85+'Свод '!AQ85+'Свод '!BE85+'Свод '!BG85+'Свод '!BI85+'Свод '!BK85+'Свод '!BM85+'Свод '!BO85+'Свод '!BQ85+'Свод '!BS85+'Свод '!BU85+'Свод '!BW85+'Свод '!BY85+'Свод '!CA85+'Свод '!CI85+'Свод '!CK85+'Свод '!CM85+'Свод '!CO85+'Свод '!CQ85+'Свод '!CS85+'Свод '!CU85+'Свод '!CW85+'Свод '!CY85+'Свод '!DA85+'Свод '!DC85+'Свод '!DI85+'Свод '!DO85+'Свод '!DS85+'Свод '!DU85+'Свод '!DW85+'Свод '!DY85+'Свод '!EA85+'Свод '!EC85+'Свод '!EE85+'Свод '!EG85+'Свод '!EI85+'Свод '!EK85+'Свод '!EM85+'Свод '!FK85+'Свод '!FM85+'Свод '!FO85+'Свод '!FQ85+'Свод '!FS85+'Свод '!FU85+'Свод '!FW85+'Свод '!FY85+'Свод '!GA85+'Свод '!GC85+'Свод '!GE85+'Свод '!GG85+'Свод '!GI85+'Свод '!HG85+'Свод '!HI85+'Свод '!HK85+'Свод '!HM85+'Свод '!HO85+'Свод '!HS85+Лист1!C85+Лист1!E85+Лист1!G85+Лист1!I85+Лист1!K85+Лист1!M85+Лист1!O85+Лист1!Q85+'Свод '!DM85</f>
        <v>5767.65</v>
      </c>
      <c r="AL85" s="144">
        <f>'Свод '!AF85+'Свод '!AJ85+'Свод '!BB85+'Свод '!CB85+'Свод '!CD85+'Свод '!EN85+'Свод '!FD85+'Свод '!FF85+'Свод '!GJ85+'Свод '!GL85+'Свод '!GN85+'Свод '!GP85+'Свод '!GR85+'Свод '!GT85+'Свод '!GV85+'Свод '!GX85+'Свод '!HT85+'Свод '!HV85</f>
        <v>147</v>
      </c>
      <c r="AM85" s="42">
        <f>'Свод '!AG85+'Свод '!AK85+'Свод '!BC85+'Свод '!CC85+'Свод '!CE85+'Свод '!EO85+'Свод '!FE85+'Свод '!FG85+'Свод '!GK85+'Свод '!GM85+'Свод '!GO85+'Свод '!GQ85+'Свод '!GS85+'Свод '!GU85+'Свод '!GW85+'Свод '!GY85+'Свод '!HU85+'Свод '!HW85</f>
        <v>147</v>
      </c>
      <c r="AN85" s="42">
        <f>'Свод '!J85+'Свод '!L85+'Свод '!N85+'Свод '!P85+'Свод '!R85+'Свод '!T85+'Свод '!V85+'Свод '!X85+'Свод '!Z85+'Свод '!AR85+'Свод '!AT85+'Свод '!AV85+'Свод '!AX85+'Свод '!DD85+'Свод '!EP85+'Свод '!ER85+'Свод '!ET85+'Свод '!EV85+'Свод '!EX85+'Свод '!EZ85+'Свод '!GZ85+'Свод '!HB85+T85+V85+Z85+AB85</f>
        <v>4594.38435</v>
      </c>
      <c r="AO85" s="42">
        <f>'Свод '!K85+'Свод '!M85+'Свод '!O85+'Свод '!Q85+'Свод '!S85+'Свод '!U85+'Свод '!W85+'Свод '!Y85+'Свод '!AA85+'Свод '!AS85+'Свод '!AU85+'Свод '!AW85+'Свод '!AY85+'Свод '!DE85+'Свод '!EQ85+'Свод '!ES85+'Свод '!EU85+'Свод '!EW85+'Свод '!EY85+'Свод '!FA85+'Свод '!HA85+'Свод '!HC85+U85+W85+AA85+AC85</f>
        <v>4594.35616</v>
      </c>
    </row>
    <row r="86" spans="1:41" ht="12.75" customHeight="1">
      <c r="A86" s="109" t="s">
        <v>253</v>
      </c>
      <c r="B86" s="104"/>
      <c r="C86" s="42"/>
      <c r="D86" s="40"/>
      <c r="E86" s="40"/>
      <c r="F86" s="43"/>
      <c r="G86" s="46"/>
      <c r="H86" s="40"/>
      <c r="I86" s="40"/>
      <c r="J86" s="110"/>
      <c r="K86" s="42"/>
      <c r="L86" s="40"/>
      <c r="M86" s="40"/>
      <c r="N86" s="40"/>
      <c r="O86" s="40"/>
      <c r="P86" s="40"/>
      <c r="Q86" s="40"/>
      <c r="R86" s="42">
        <f t="shared" si="8"/>
        <v>0</v>
      </c>
      <c r="S86" s="42">
        <f t="shared" si="9"/>
        <v>0</v>
      </c>
      <c r="T86" s="42"/>
      <c r="U86" s="42"/>
      <c r="V86" s="40"/>
      <c r="W86" s="40"/>
      <c r="X86" s="42">
        <f t="shared" si="10"/>
        <v>0</v>
      </c>
      <c r="Y86" s="42">
        <f t="shared" si="11"/>
        <v>0</v>
      </c>
      <c r="Z86" s="42"/>
      <c r="AA86" s="42"/>
      <c r="AB86" s="40"/>
      <c r="AC86" s="40"/>
      <c r="AD86" s="42">
        <f t="shared" si="12"/>
        <v>0</v>
      </c>
      <c r="AE86" s="42">
        <f t="shared" si="13"/>
        <v>0</v>
      </c>
      <c r="AF86" s="42">
        <f>'Свод '!AH86+'Свод '!AZ86+'Свод '!BB86+'Свод '!CF86+'Свод '!DF86+'Свод '!DJ86+'Свод '!DP86+'Свод '!FB86+'Свод '!FH86+'Свод '!HD86+'Свод '!HP86+'Свод '!HX86+Лист1!R86+Лист1!AD86+X86</f>
        <v>2550.86861</v>
      </c>
      <c r="AG86" s="42">
        <f>'Свод '!AI86+'Свод '!BA86+'Свод '!BC86+'Свод '!CG86+'Свод '!DG86+'Свод '!DK86+'Свод '!DQ86+'Свод '!FC86+'Свод '!FI86+'Свод '!HE86+'Свод '!HQ86+'Свод '!HY86+Лист1!S86+Лист1!AE86+Y86</f>
        <v>2550.86861</v>
      </c>
      <c r="AH86" s="42">
        <f>'Свод '!B86+'Свод '!D86+'Свод '!F86+'Свод '!H86</f>
        <v>1332</v>
      </c>
      <c r="AI86" s="42">
        <f>'Свод '!C86+'Свод '!E86+'Свод '!G86+'Свод '!I86</f>
        <v>1332</v>
      </c>
      <c r="AJ86" s="39">
        <f>'Свод '!AB86+'Свод '!AD86+'Свод '!AL86+'Свод '!AN86+'Свод '!AP86+'Свод '!BD86+'Свод '!BF86+'Свод '!BH86+'Свод '!BJ86+'Свод '!BL86+'Свод '!BN86+'Свод '!BP86+'Свод '!BR86+'Свод '!BT86+'Свод '!BV86+'Свод '!BX86+'Свод '!BZ86+'Свод '!CH86+'Свод '!CJ86+'Свод '!CL86+'Свод '!CN86+'Свод '!CP86+'Свод '!CR86+'Свод '!CT86+'Свод '!CV86+'Свод '!CX86+'Свод '!CZ86+'Свод '!DB86+'Свод '!DH86+'Свод '!DN86+'Свод '!DR86+'Свод '!DT86+'Свод '!DV86+'Свод '!DX86+'Свод '!DZ86+'Свод '!EB86+'Свод '!ED86+'Свод '!EF86+'Свод '!EH86+'Свод '!EJ86+'Свод '!EL86+'Свод '!FJ86+'Свод '!FL86+'Свод '!FN86+'Свод '!FP86+'Свод '!FR86+'Свод '!FT86+'Свод '!FV86+'Свод '!FX86+'Свод '!FZ86+'Свод '!GB86+'Свод '!GD86+'Свод '!GF86+'Свод '!GH86+'Свод '!HF86+'Свод '!HH86+'Свод '!HJ86+'Свод '!HL86+'Свод '!HN86+'Свод '!HR86+Лист1!B86+Лист1!D86+Лист1!F86+Лист1!H86+Лист1!J86+Лист1!L86+Лист1!N86+Лист1!P86+'Свод '!DL86</f>
        <v>972.8</v>
      </c>
      <c r="AK86" s="39">
        <f>'Свод '!AC86+'Свод '!AE86+'Свод '!AM86+'Свод '!AO86+'Свод '!AQ86+'Свод '!BE86+'Свод '!BG86+'Свод '!BI86+'Свод '!BK86+'Свод '!BM86+'Свод '!BO86+'Свод '!BQ86+'Свод '!BS86+'Свод '!BU86+'Свод '!BW86+'Свод '!BY86+'Свод '!CA86+'Свод '!CI86+'Свод '!CK86+'Свод '!CM86+'Свод '!CO86+'Свод '!CQ86+'Свод '!CS86+'Свод '!CU86+'Свод '!CW86+'Свод '!CY86+'Свод '!DA86+'Свод '!DC86+'Свод '!DI86+'Свод '!DO86+'Свод '!DS86+'Свод '!DU86+'Свод '!DW86+'Свод '!DY86+'Свод '!EA86+'Свод '!EC86+'Свод '!EE86+'Свод '!EG86+'Свод '!EI86+'Свод '!EK86+'Свод '!EM86+'Свод '!FK86+'Свод '!FM86+'Свод '!FO86+'Свод '!FQ86+'Свод '!FS86+'Свод '!FU86+'Свод '!FW86+'Свод '!FY86+'Свод '!GA86+'Свод '!GC86+'Свод '!GE86+'Свод '!GG86+'Свод '!GI86+'Свод '!HG86+'Свод '!HI86+'Свод '!HK86+'Свод '!HM86+'Свод '!HO86+'Свод '!HS86+Лист1!C86+Лист1!E86+Лист1!G86+Лист1!I86+Лист1!K86+Лист1!M86+Лист1!O86+Лист1!Q86+'Свод '!DM86</f>
        <v>972.8</v>
      </c>
      <c r="AL86" s="144">
        <f>'Свод '!AF86+'Свод '!AJ86+'Свод '!BB86+'Свод '!CB86+'Свод '!CD86+'Свод '!EN86+'Свод '!FD86+'Свод '!FF86+'Свод '!GJ86+'Свод '!GL86+'Свод '!GN86+'Свод '!GP86+'Свод '!GR86+'Свод '!GT86+'Свод '!GV86+'Свод '!GX86+'Свод '!HT86+'Свод '!HV86</f>
        <v>147</v>
      </c>
      <c r="AM86" s="42">
        <f>'Свод '!AG86+'Свод '!AK86+'Свод '!BC86+'Свод '!CC86+'Свод '!CE86+'Свод '!EO86+'Свод '!FE86+'Свод '!FG86+'Свод '!GK86+'Свод '!GM86+'Свод '!GO86+'Свод '!GQ86+'Свод '!GS86+'Свод '!GU86+'Свод '!GW86+'Свод '!GY86+'Свод '!HU86+'Свод '!HW86</f>
        <v>147</v>
      </c>
      <c r="AN86" s="42">
        <f>'Свод '!J86+'Свод '!L86+'Свод '!N86+'Свод '!P86+'Свод '!R86+'Свод '!T86+'Свод '!V86+'Свод '!X86+'Свод '!Z86+'Свод '!AR86+'Свод '!AT86+'Свод '!AV86+'Свод '!AX86+'Свод '!DD86+'Свод '!EP86+'Свод '!ER86+'Свод '!ET86+'Свод '!EV86+'Свод '!EX86+'Свод '!EZ86+'Свод '!GZ86+'Свод '!HB86+T86+V86+Z86+AB86</f>
        <v>99.06861</v>
      </c>
      <c r="AO86" s="42">
        <f>'Свод '!K86+'Свод '!M86+'Свод '!O86+'Свод '!Q86+'Свод '!S86+'Свод '!U86+'Свод '!W86+'Свод '!Y86+'Свод '!AA86+'Свод '!AS86+'Свод '!AU86+'Свод '!AW86+'Свод '!AY86+'Свод '!DE86+'Свод '!EQ86+'Свод '!ES86+'Свод '!EU86+'Свод '!EW86+'Свод '!EY86+'Свод '!FA86+'Свод '!HA86+'Свод '!HC86+U86+W86+AA86+AC86</f>
        <v>99.06861</v>
      </c>
    </row>
    <row r="87" spans="1:41" ht="13.5" customHeight="1">
      <c r="A87" s="109" t="s">
        <v>254</v>
      </c>
      <c r="B87" s="104">
        <v>11584</v>
      </c>
      <c r="C87" s="42">
        <v>8404.341</v>
      </c>
      <c r="D87" s="40"/>
      <c r="E87" s="40"/>
      <c r="F87" s="43"/>
      <c r="G87" s="46"/>
      <c r="H87" s="40"/>
      <c r="I87" s="40"/>
      <c r="J87" s="110"/>
      <c r="K87" s="42"/>
      <c r="L87" s="40"/>
      <c r="M87" s="40"/>
      <c r="N87" s="40"/>
      <c r="O87" s="40"/>
      <c r="P87" s="40"/>
      <c r="Q87" s="40"/>
      <c r="R87" s="42">
        <f t="shared" si="8"/>
        <v>11584</v>
      </c>
      <c r="S87" s="42">
        <f t="shared" si="9"/>
        <v>8404.341</v>
      </c>
      <c r="T87" s="42"/>
      <c r="U87" s="42"/>
      <c r="V87" s="40"/>
      <c r="W87" s="40"/>
      <c r="X87" s="42">
        <f t="shared" si="10"/>
        <v>0</v>
      </c>
      <c r="Y87" s="42">
        <f t="shared" si="11"/>
        <v>0</v>
      </c>
      <c r="Z87" s="42"/>
      <c r="AA87" s="42"/>
      <c r="AB87" s="40"/>
      <c r="AC87" s="40"/>
      <c r="AD87" s="42">
        <f t="shared" si="12"/>
        <v>0</v>
      </c>
      <c r="AE87" s="42">
        <f t="shared" si="13"/>
        <v>0</v>
      </c>
      <c r="AF87" s="42">
        <f>'Свод '!AH87+'Свод '!AZ87+'Свод '!BB87+'Свод '!CF87+'Свод '!DF87+'Свод '!DJ87+'Свод '!DP87+'Свод '!FB87+'Свод '!FH87+'Свод '!HD87+'Свод '!HP87+'Свод '!HX87+Лист1!R87+Лист1!AD87+X87</f>
        <v>15258.51498</v>
      </c>
      <c r="AG87" s="42">
        <f>'Свод '!AI87+'Свод '!BA87+'Свод '!BC87+'Свод '!CG87+'Свод '!DG87+'Свод '!DK87+'Свод '!DQ87+'Свод '!FC87+'Свод '!FI87+'Свод '!HE87+'Свод '!HQ87+'Свод '!HY87+Лист1!S87+Лист1!AE87+Y87</f>
        <v>12078.85598</v>
      </c>
      <c r="AH87" s="42">
        <f>'Свод '!B87+'Свод '!D87+'Свод '!F87+'Свод '!H87</f>
        <v>1249</v>
      </c>
      <c r="AI87" s="42">
        <f>'Свод '!C87+'Свод '!E87+'Свод '!G87+'Свод '!I87</f>
        <v>1249</v>
      </c>
      <c r="AJ87" s="39">
        <f>'Свод '!AB87+'Свод '!AD87+'Свод '!AL87+'Свод '!AN87+'Свод '!AP87+'Свод '!BD87+'Свод '!BF87+'Свод '!BH87+'Свод '!BJ87+'Свод '!BL87+'Свод '!BN87+'Свод '!BP87+'Свод '!BR87+'Свод '!BT87+'Свод '!BV87+'Свод '!BX87+'Свод '!BZ87+'Свод '!CH87+'Свод '!CJ87+'Свод '!CL87+'Свод '!CN87+'Свод '!CP87+'Свод '!CR87+'Свод '!CT87+'Свод '!CV87+'Свод '!CX87+'Свод '!CZ87+'Свод '!DB87+'Свод '!DH87+'Свод '!DN87+'Свод '!DR87+'Свод '!DT87+'Свод '!DV87+'Свод '!DX87+'Свод '!DZ87+'Свод '!EB87+'Свод '!ED87+'Свод '!EF87+'Свод '!EH87+'Свод '!EJ87+'Свод '!EL87+'Свод '!FJ87+'Свод '!FL87+'Свод '!FN87+'Свод '!FP87+'Свод '!FR87+'Свод '!FT87+'Свод '!FV87+'Свод '!FX87+'Свод '!FZ87+'Свод '!GB87+'Свод '!GD87+'Свод '!GF87+'Свод '!GH87+'Свод '!HF87+'Свод '!HH87+'Свод '!HJ87+'Свод '!HL87+'Свод '!HN87+'Свод '!HR87+Лист1!B87+Лист1!D87+Лист1!F87+Лист1!H87+Лист1!J87+Лист1!L87+Лист1!N87+Лист1!P87+'Свод '!DL87</f>
        <v>12275</v>
      </c>
      <c r="AK87" s="39">
        <f>'Свод '!AC87+'Свод '!AE87+'Свод '!AM87+'Свод '!AO87+'Свод '!AQ87+'Свод '!BE87+'Свод '!BG87+'Свод '!BI87+'Свод '!BK87+'Свод '!BM87+'Свод '!BO87+'Свод '!BQ87+'Свод '!BS87+'Свод '!BU87+'Свод '!BW87+'Свод '!BY87+'Свод '!CA87+'Свод '!CI87+'Свод '!CK87+'Свод '!CM87+'Свод '!CO87+'Свод '!CQ87+'Свод '!CS87+'Свод '!CU87+'Свод '!CW87+'Свод '!CY87+'Свод '!DA87+'Свод '!DC87+'Свод '!DI87+'Свод '!DO87+'Свод '!DS87+'Свод '!DU87+'Свод '!DW87+'Свод '!DY87+'Свод '!EA87+'Свод '!EC87+'Свод '!EE87+'Свод '!EG87+'Свод '!EI87+'Свод '!EK87+'Свод '!EM87+'Свод '!FK87+'Свод '!FM87+'Свод '!FO87+'Свод '!FQ87+'Свод '!FS87+'Свод '!FU87+'Свод '!FW87+'Свод '!FY87+'Свод '!GA87+'Свод '!GC87+'Свод '!GE87+'Свод '!GG87+'Свод '!GI87+'Свод '!HG87+'Свод '!HI87+'Свод '!HK87+'Свод '!HM87+'Свод '!HO87+'Свод '!HS87+Лист1!C87+Лист1!E87+Лист1!G87+Лист1!I87+Лист1!K87+Лист1!M87+Лист1!O87+Лист1!Q87+'Свод '!DM87</f>
        <v>9095.341</v>
      </c>
      <c r="AL87" s="144">
        <f>'Свод '!AF87+'Свод '!AJ87+'Свод '!BB87+'Свод '!CB87+'Свод '!CD87+'Свод '!EN87+'Свод '!FD87+'Свод '!FF87+'Свод '!GJ87+'Свод '!GL87+'Свод '!GN87+'Свод '!GP87+'Свод '!GR87+'Свод '!GT87+'Свод '!GV87+'Свод '!GX87+'Свод '!HT87+'Свод '!HV87</f>
        <v>147</v>
      </c>
      <c r="AM87" s="42">
        <f>'Свод '!AG87+'Свод '!AK87+'Свод '!BC87+'Свод '!CC87+'Свод '!CE87+'Свод '!EO87+'Свод '!FE87+'Свод '!FG87+'Свод '!GK87+'Свод '!GM87+'Свод '!GO87+'Свод '!GQ87+'Свод '!GS87+'Свод '!GU87+'Свод '!GW87+'Свод '!GY87+'Свод '!HU87+'Свод '!HW87</f>
        <v>147.00000000000003</v>
      </c>
      <c r="AN87" s="42">
        <f>'Свод '!J87+'Свод '!L87+'Свод '!N87+'Свод '!P87+'Свод '!R87+'Свод '!T87+'Свод '!V87+'Свод '!X87+'Свод '!Z87+'Свод '!AR87+'Свод '!AT87+'Свод '!AV87+'Свод '!AX87+'Свод '!DD87+'Свод '!EP87+'Свод '!ER87+'Свод '!ET87+'Свод '!EV87+'Свод '!EX87+'Свод '!EZ87+'Свод '!GZ87+'Свод '!HB87+T87+V87+Z87+AB87</f>
        <v>1587.51498</v>
      </c>
      <c r="AO87" s="42">
        <f>'Свод '!K87+'Свод '!M87+'Свод '!O87+'Свод '!Q87+'Свод '!S87+'Свод '!U87+'Свод '!W87+'Свод '!Y87+'Свод '!AA87+'Свод '!AS87+'Свод '!AU87+'Свод '!AW87+'Свод '!AY87+'Свод '!DE87+'Свод '!EQ87+'Свод '!ES87+'Свод '!EU87+'Свод '!EW87+'Свод '!EY87+'Свод '!FA87+'Свод '!HA87+'Свод '!HC87+U87+W87+AA87+AC87</f>
        <v>1587.51498</v>
      </c>
    </row>
    <row r="88" spans="1:41" ht="12.75" customHeight="1">
      <c r="A88" s="109" t="s">
        <v>255</v>
      </c>
      <c r="B88" s="104"/>
      <c r="C88" s="42"/>
      <c r="D88" s="40"/>
      <c r="E88" s="40"/>
      <c r="F88" s="43"/>
      <c r="G88" s="46"/>
      <c r="H88" s="40"/>
      <c r="I88" s="40"/>
      <c r="J88" s="104">
        <v>2261</v>
      </c>
      <c r="K88" s="42">
        <v>2193.328</v>
      </c>
      <c r="L88" s="40"/>
      <c r="M88" s="40"/>
      <c r="N88" s="40"/>
      <c r="O88" s="40"/>
      <c r="P88" s="40"/>
      <c r="Q88" s="40"/>
      <c r="R88" s="42">
        <f t="shared" si="8"/>
        <v>2261</v>
      </c>
      <c r="S88" s="42">
        <f t="shared" si="9"/>
        <v>2193.328</v>
      </c>
      <c r="T88" s="42"/>
      <c r="U88" s="42"/>
      <c r="V88" s="40"/>
      <c r="W88" s="40"/>
      <c r="X88" s="42">
        <f t="shared" si="10"/>
        <v>0</v>
      </c>
      <c r="Y88" s="42">
        <f t="shared" si="11"/>
        <v>0</v>
      </c>
      <c r="Z88" s="42"/>
      <c r="AA88" s="42"/>
      <c r="AB88" s="40"/>
      <c r="AC88" s="40"/>
      <c r="AD88" s="42">
        <f t="shared" si="12"/>
        <v>0</v>
      </c>
      <c r="AE88" s="42">
        <f t="shared" si="13"/>
        <v>0</v>
      </c>
      <c r="AF88" s="42">
        <f>'Свод '!AH88+'Свод '!AZ88+'Свод '!BB88+'Свод '!CF88+'Свод '!DF88+'Свод '!DJ88+'Свод '!DP88+'Свод '!FB88+'Свод '!FH88+'Свод '!HD88+'Свод '!HP88+'Свод '!HX88+Лист1!R88+Лист1!AD88+X88</f>
        <v>8475.063600000001</v>
      </c>
      <c r="AG88" s="42">
        <f>'Свод '!AI88+'Свод '!BA88+'Свод '!BC88+'Свод '!CG88+'Свод '!DG88+'Свод '!DK88+'Свод '!DQ88+'Свод '!FC88+'Свод '!FI88+'Свод '!HE88+'Свод '!HQ88+'Свод '!HY88+Лист1!S88+Лист1!AE88+Y88</f>
        <v>8386.3916</v>
      </c>
      <c r="AH88" s="42">
        <f>'Свод '!B88+'Свод '!D88+'Свод '!F88+'Свод '!H88</f>
        <v>4512</v>
      </c>
      <c r="AI88" s="42">
        <f>'Свод '!C88+'Свод '!E88+'Свод '!G88+'Свод '!I88</f>
        <v>4512</v>
      </c>
      <c r="AJ88" s="39">
        <f>'Свод '!AB88+'Свод '!AD88+'Свод '!AL88+'Свод '!AN88+'Свод '!AP88+'Свод '!BD88+'Свод '!BF88+'Свод '!BH88+'Свод '!BJ88+'Свод '!BL88+'Свод '!BN88+'Свод '!BP88+'Свод '!BR88+'Свод '!BT88+'Свод '!BV88+'Свод '!BX88+'Свод '!BZ88+'Свод '!CH88+'Свод '!CJ88+'Свод '!CL88+'Свод '!CN88+'Свод '!CP88+'Свод '!CR88+'Свод '!CT88+'Свод '!CV88+'Свод '!CX88+'Свод '!CZ88+'Свод '!DB88+'Свод '!DH88+'Свод '!DN88+'Свод '!DR88+'Свод '!DT88+'Свод '!DV88+'Свод '!DX88+'Свод '!DZ88+'Свод '!EB88+'Свод '!ED88+'Свод '!EF88+'Свод '!EH88+'Свод '!EJ88+'Свод '!EL88+'Свод '!FJ88+'Свод '!FL88+'Свод '!FN88+'Свод '!FP88+'Свод '!FR88+'Свод '!FT88+'Свод '!FV88+'Свод '!FX88+'Свод '!FZ88+'Свод '!GB88+'Свод '!GD88+'Свод '!GF88+'Свод '!GH88+'Свод '!HF88+'Свод '!HH88+'Свод '!HJ88+'Свод '!HL88+'Свод '!HN88+'Свод '!HR88+Лист1!B88+Лист1!D88+Лист1!F88+Лист1!H88+Лист1!J88+Лист1!L88+Лист1!N88+Лист1!P88+'Свод '!DL88</f>
        <v>3513.3</v>
      </c>
      <c r="AK88" s="39">
        <f>'Свод '!AC88+'Свод '!AE88+'Свод '!AM88+'Свод '!AO88+'Свод '!AQ88+'Свод '!BE88+'Свод '!BG88+'Свод '!BI88+'Свод '!BK88+'Свод '!BM88+'Свод '!BO88+'Свод '!BQ88+'Свод '!BS88+'Свод '!BU88+'Свод '!BW88+'Свод '!BY88+'Свод '!CA88+'Свод '!CI88+'Свод '!CK88+'Свод '!CM88+'Свод '!CO88+'Свод '!CQ88+'Свод '!CS88+'Свод '!CU88+'Свод '!CW88+'Свод '!CY88+'Свод '!DA88+'Свод '!DC88+'Свод '!DI88+'Свод '!DO88+'Свод '!DS88+'Свод '!DU88+'Свод '!DW88+'Свод '!DY88+'Свод '!EA88+'Свод '!EC88+'Свод '!EE88+'Свод '!EG88+'Свод '!EI88+'Свод '!EK88+'Свод '!EM88+'Свод '!FK88+'Свод '!FM88+'Свод '!FO88+'Свод '!FQ88+'Свод '!FS88+'Свод '!FU88+'Свод '!FW88+'Свод '!FY88+'Свод '!GA88+'Свод '!GC88+'Свод '!GE88+'Свод '!GG88+'Свод '!GI88+'Свод '!HG88+'Свод '!HI88+'Свод '!HK88+'Свод '!HM88+'Свод '!HO88+'Свод '!HS88+Лист1!C88+Лист1!E88+Лист1!G88+Лист1!I88+Лист1!K88+Лист1!M88+Лист1!O88+Лист1!Q88+'Свод '!DM88</f>
        <v>3424.628</v>
      </c>
      <c r="AL88" s="144">
        <f>'Свод '!AF88+'Свод '!AJ88+'Свод '!BB88+'Свод '!CB88+'Свод '!CD88+'Свод '!EN88+'Свод '!FD88+'Свод '!FF88+'Свод '!GJ88+'Свод '!GL88+'Свод '!GN88+'Свод '!GP88+'Свод '!GR88+'Свод '!GT88+'Свод '!GV88+'Свод '!GX88+'Свод '!HT88+'Свод '!HV88</f>
        <v>147</v>
      </c>
      <c r="AM88" s="42">
        <f>'Свод '!AG88+'Свод '!AK88+'Свод '!BC88+'Свод '!CC88+'Свод '!CE88+'Свод '!EO88+'Свод '!FE88+'Свод '!FG88+'Свод '!GK88+'Свод '!GM88+'Свод '!GO88+'Свод '!GQ88+'Свод '!GS88+'Свод '!GU88+'Свод '!GW88+'Свод '!GY88+'Свод '!HU88+'Свод '!HW88</f>
        <v>147</v>
      </c>
      <c r="AN88" s="42">
        <f>'Свод '!J88+'Свод '!L88+'Свод '!N88+'Свод '!P88+'Свод '!R88+'Свод '!T88+'Свод '!V88+'Свод '!X88+'Свод '!Z88+'Свод '!AR88+'Свод '!AT88+'Свод '!AV88+'Свод '!AX88+'Свод '!DD88+'Свод '!EP88+'Свод '!ER88+'Свод '!ET88+'Свод '!EV88+'Свод '!EX88+'Свод '!EZ88+'Свод '!GZ88+'Свод '!HB88+T88+V88+Z88+AB88</f>
        <v>302.7636</v>
      </c>
      <c r="AO88" s="42">
        <f>'Свод '!K88+'Свод '!M88+'Свод '!O88+'Свод '!Q88+'Свод '!S88+'Свод '!U88+'Свод '!W88+'Свод '!Y88+'Свод '!AA88+'Свод '!AS88+'Свод '!AU88+'Свод '!AW88+'Свод '!AY88+'Свод '!DE88+'Свод '!EQ88+'Свод '!ES88+'Свод '!EU88+'Свод '!EW88+'Свод '!EY88+'Свод '!FA88+'Свод '!HA88+'Свод '!HC88+U88+W88+AA88+AC88</f>
        <v>302.7636</v>
      </c>
    </row>
    <row r="89" spans="1:41" ht="12.75">
      <c r="A89" s="109" t="s">
        <v>256</v>
      </c>
      <c r="B89" s="104"/>
      <c r="C89" s="42"/>
      <c r="D89" s="40"/>
      <c r="E89" s="40"/>
      <c r="F89" s="43"/>
      <c r="G89" s="46"/>
      <c r="H89" s="40"/>
      <c r="I89" s="40"/>
      <c r="J89" s="110"/>
      <c r="K89" s="42"/>
      <c r="L89" s="40"/>
      <c r="M89" s="40"/>
      <c r="N89" s="40"/>
      <c r="O89" s="40"/>
      <c r="P89" s="40"/>
      <c r="Q89" s="40"/>
      <c r="R89" s="42">
        <f t="shared" si="8"/>
        <v>0</v>
      </c>
      <c r="S89" s="42">
        <f t="shared" si="9"/>
        <v>0</v>
      </c>
      <c r="T89" s="42"/>
      <c r="U89" s="42"/>
      <c r="V89" s="40"/>
      <c r="W89" s="40"/>
      <c r="X89" s="42">
        <f t="shared" si="10"/>
        <v>0</v>
      </c>
      <c r="Y89" s="42">
        <f t="shared" si="11"/>
        <v>0</v>
      </c>
      <c r="Z89" s="42"/>
      <c r="AA89" s="42"/>
      <c r="AB89" s="40"/>
      <c r="AC89" s="40"/>
      <c r="AD89" s="42">
        <f t="shared" si="12"/>
        <v>0</v>
      </c>
      <c r="AE89" s="42">
        <f t="shared" si="13"/>
        <v>0</v>
      </c>
      <c r="AF89" s="42">
        <f>'Свод '!AH89+'Свод '!AZ89+'Свод '!BB89+'Свод '!CF89+'Свод '!DF89+'Свод '!DJ89+'Свод '!DP89+'Свод '!FB89+'Свод '!FH89+'Свод '!HD89+'Свод '!HP89+'Свод '!HX89+Лист1!R89+Лист1!AD89+X89</f>
        <v>2499.24575</v>
      </c>
      <c r="AG89" s="42">
        <f>'Свод '!AI89+'Свод '!BA89+'Свод '!BC89+'Свод '!CG89+'Свод '!DG89+'Свод '!DK89+'Свод '!DQ89+'Свод '!FC89+'Свод '!FI89+'Свод '!HE89+'Свод '!HQ89+'Свод '!HY89+Лист1!S89+Лист1!AE89+Y89</f>
        <v>2497.20546</v>
      </c>
      <c r="AH89" s="42">
        <f>'Свод '!B89+'Свод '!D89+'Свод '!F89+'Свод '!H89</f>
        <v>2011</v>
      </c>
      <c r="AI89" s="42">
        <f>'Свод '!C89+'Свод '!E89+'Свод '!G89+'Свод '!I89</f>
        <v>2011</v>
      </c>
      <c r="AJ89" s="39">
        <f>'Свод '!AB89+'Свод '!AD89+'Свод '!AL89+'Свод '!AN89+'Свод '!AP89+'Свод '!BD89+'Свод '!BF89+'Свод '!BH89+'Свод '!BJ89+'Свод '!BL89+'Свод '!BN89+'Свод '!BP89+'Свод '!BR89+'Свод '!BT89+'Свод '!BV89+'Свод '!BX89+'Свод '!BZ89+'Свод '!CH89+'Свод '!CJ89+'Свод '!CL89+'Свод '!CN89+'Свод '!CP89+'Свод '!CR89+'Свод '!CT89+'Свод '!CV89+'Свод '!CX89+'Свод '!CZ89+'Свод '!DB89+'Свод '!DH89+'Свод '!DN89+'Свод '!DR89+'Свод '!DT89+'Свод '!DV89+'Свод '!DX89+'Свод '!DZ89+'Свод '!EB89+'Свод '!ED89+'Свод '!EF89+'Свод '!EH89+'Свод '!EJ89+'Свод '!EL89+'Свод '!FJ89+'Свод '!FL89+'Свод '!FN89+'Свод '!FP89+'Свод '!FR89+'Свод '!FT89+'Свод '!FV89+'Свод '!FX89+'Свод '!FZ89+'Свод '!GB89+'Свод '!GD89+'Свод '!GF89+'Свод '!GH89+'Свод '!HF89+'Свод '!HH89+'Свод '!HJ89+'Свод '!HL89+'Свод '!HN89+'Свод '!HR89+Лист1!B89+Лист1!D89+Лист1!F89+Лист1!H89+Лист1!J89+Лист1!L89+Лист1!N89+Лист1!P89+'Свод '!DL89</f>
        <v>275.4</v>
      </c>
      <c r="AK89" s="39">
        <f>'Свод '!AC89+'Свод '!AE89+'Свод '!AM89+'Свод '!AO89+'Свод '!AQ89+'Свод '!BE89+'Свод '!BG89+'Свод '!BI89+'Свод '!BK89+'Свод '!BM89+'Свод '!BO89+'Свод '!BQ89+'Свод '!BS89+'Свод '!BU89+'Свод '!BW89+'Свод '!BY89+'Свод '!CA89+'Свод '!CI89+'Свод '!CK89+'Свод '!CM89+'Свод '!CO89+'Свод '!CQ89+'Свод '!CS89+'Свод '!CU89+'Свод '!CW89+'Свод '!CY89+'Свод '!DA89+'Свод '!DC89+'Свод '!DI89+'Свод '!DO89+'Свод '!DS89+'Свод '!DU89+'Свод '!DW89+'Свод '!DY89+'Свод '!EA89+'Свод '!EC89+'Свод '!EE89+'Свод '!EG89+'Свод '!EI89+'Свод '!EK89+'Свод '!EM89+'Свод '!FK89+'Свод '!FM89+'Свод '!FO89+'Свод '!FQ89+'Свод '!FS89+'Свод '!FU89+'Свод '!FW89+'Свод '!FY89+'Свод '!GA89+'Свод '!GC89+'Свод '!GE89+'Свод '!GG89+'Свод '!GI89+'Свод '!HG89+'Свод '!HI89+'Свод '!HK89+'Свод '!HM89+'Свод '!HO89+'Свод '!HS89+Лист1!C89+Лист1!E89+Лист1!G89+Лист1!I89+Лист1!K89+Лист1!M89+Лист1!O89+Лист1!Q89+'Свод '!DM89</f>
        <v>275.4</v>
      </c>
      <c r="AL89" s="144">
        <f>'Свод '!AF89+'Свод '!AJ89+'Свод '!BB89+'Свод '!CB89+'Свод '!CD89+'Свод '!EN89+'Свод '!FD89+'Свод '!FF89+'Свод '!GJ89+'Свод '!GL89+'Свод '!GN89+'Свод '!GP89+'Свод '!GR89+'Свод '!GT89+'Свод '!GV89+'Свод '!GX89+'Свод '!HT89+'Свод '!HV89</f>
        <v>147</v>
      </c>
      <c r="AM89" s="42">
        <f>'Свод '!AG89+'Свод '!AK89+'Свод '!BC89+'Свод '!CC89+'Свод '!CE89+'Свод '!EO89+'Свод '!FE89+'Свод '!FG89+'Свод '!GK89+'Свод '!GM89+'Свод '!GO89+'Свод '!GQ89+'Свод '!GS89+'Свод '!GU89+'Свод '!GW89+'Свод '!GY89+'Свод '!HU89+'Свод '!HW89</f>
        <v>147</v>
      </c>
      <c r="AN89" s="42">
        <f>'Свод '!J89+'Свод '!L89+'Свод '!N89+'Свод '!P89+'Свод '!R89+'Свод '!T89+'Свод '!V89+'Свод '!X89+'Свод '!Z89+'Свод '!AR89+'Свод '!AT89+'Свод '!AV89+'Свод '!AX89+'Свод '!DD89+'Свод '!EP89+'Свод '!ER89+'Свод '!ET89+'Свод '!EV89+'Свод '!EX89+'Свод '!EZ89+'Свод '!GZ89+'Свод '!HB89+T89+V89+Z89+AB89</f>
        <v>65.84575</v>
      </c>
      <c r="AO89" s="42">
        <f>'Свод '!K89+'Свод '!M89+'Свод '!O89+'Свод '!Q89+'Свод '!S89+'Свод '!U89+'Свод '!W89+'Свод '!Y89+'Свод '!AA89+'Свод '!AS89+'Свод '!AU89+'Свод '!AW89+'Свод '!AY89+'Свод '!DE89+'Свод '!EQ89+'Свод '!ES89+'Свод '!EU89+'Свод '!EW89+'Свод '!EY89+'Свод '!FA89+'Свод '!HA89+'Свод '!HC89+U89+W89+AA89+AC89</f>
        <v>63.805460000000004</v>
      </c>
    </row>
    <row r="90" spans="1:41" ht="23.25" customHeight="1">
      <c r="A90" s="108" t="s">
        <v>131</v>
      </c>
      <c r="B90" s="104">
        <v>1201</v>
      </c>
      <c r="C90" s="42">
        <v>427.5</v>
      </c>
      <c r="D90" s="40">
        <f>SUM(D91:D99)</f>
        <v>0</v>
      </c>
      <c r="E90" s="40">
        <f>SUM(E91:E99)</f>
        <v>0</v>
      </c>
      <c r="F90" s="43">
        <v>11</v>
      </c>
      <c r="G90" s="46">
        <v>0</v>
      </c>
      <c r="H90" s="40">
        <f>SUM(H91:H99)</f>
        <v>0</v>
      </c>
      <c r="I90" s="40">
        <f>SUM(I91:I99)</f>
        <v>0</v>
      </c>
      <c r="J90" s="104">
        <v>0</v>
      </c>
      <c r="K90" s="42">
        <v>0</v>
      </c>
      <c r="L90" s="47">
        <v>0</v>
      </c>
      <c r="M90" s="47">
        <v>0</v>
      </c>
      <c r="N90" s="47">
        <f aca="true" t="shared" si="14" ref="N90:U90">SUM(N91:N99)</f>
        <v>0</v>
      </c>
      <c r="O90" s="47">
        <f t="shared" si="14"/>
        <v>0</v>
      </c>
      <c r="P90" s="47">
        <f t="shared" si="14"/>
        <v>0</v>
      </c>
      <c r="Q90" s="47">
        <f t="shared" si="14"/>
        <v>0</v>
      </c>
      <c r="R90" s="47">
        <f t="shared" si="14"/>
        <v>1212</v>
      </c>
      <c r="S90" s="47">
        <f t="shared" si="14"/>
        <v>427.5</v>
      </c>
      <c r="T90" s="47">
        <f t="shared" si="14"/>
        <v>0</v>
      </c>
      <c r="U90" s="47">
        <f t="shared" si="14"/>
        <v>0</v>
      </c>
      <c r="V90" s="40">
        <v>0</v>
      </c>
      <c r="W90" s="40">
        <v>0</v>
      </c>
      <c r="X90" s="42">
        <f t="shared" si="10"/>
        <v>0</v>
      </c>
      <c r="Y90" s="42">
        <f t="shared" si="11"/>
        <v>0</v>
      </c>
      <c r="Z90" s="42">
        <v>369.6</v>
      </c>
      <c r="AA90" s="42">
        <v>369.6</v>
      </c>
      <c r="AB90" s="40">
        <v>1580</v>
      </c>
      <c r="AC90" s="40">
        <v>1580</v>
      </c>
      <c r="AD90" s="42">
        <f t="shared" si="12"/>
        <v>1949.6</v>
      </c>
      <c r="AE90" s="42">
        <f t="shared" si="13"/>
        <v>1949.6</v>
      </c>
      <c r="AF90" s="42">
        <f>'Свод '!AH90+'Свод '!AZ90+'Свод '!BB90+'Свод '!CF90+'Свод '!DF90+'Свод '!DJ90+'Свод '!DP90+'Свод '!FB90+'Свод '!FH90+'Свод '!HD90+'Свод '!HP90+'Свод '!HX90+Лист1!R90+Лист1!AD90+X90</f>
        <v>619953.3045399999</v>
      </c>
      <c r="AG90" s="42">
        <f>'Свод '!AI90+'Свод '!BA90+'Свод '!BC90+'Свод '!CG90+'Свод '!DG90+'Свод '!DK90+'Свод '!DQ90+'Свод '!FC90+'Свод '!FI90+'Свод '!HE90+'Свод '!HQ90+'Свод '!HY90+Лист1!S90+Лист1!AE90+Y90</f>
        <v>557739.64169</v>
      </c>
      <c r="AH90" s="42">
        <f>'Свод '!B90+'Свод '!D90+'Свод '!F90+'Свод '!H90</f>
        <v>212858</v>
      </c>
      <c r="AI90" s="42">
        <f>'Свод '!C90+'Свод '!E90+'Свод '!G90+'Свод '!I90</f>
        <v>212858</v>
      </c>
      <c r="AJ90" s="39">
        <f>'Свод '!AB90+'Свод '!AD90+'Свод '!AL90+'Свод '!AN90+'Свод '!AP90+'Свод '!BD90+'Свод '!BF90+'Свод '!BH90+'Свод '!BJ90+'Свод '!BL90+'Свод '!BN90+'Свод '!BP90+'Свод '!BR90+'Свод '!BT90+'Свод '!BV90+'Свод '!BX90+'Свод '!BZ90+'Свод '!CH90+'Свод '!CJ90+'Свод '!CL90+'Свод '!CN90+'Свод '!CP90+'Свод '!CR90+'Свод '!CT90+'Свод '!CV90+'Свод '!CX90+'Свод '!CZ90+'Свод '!DB90+'Свод '!DH90+'Свод '!DN90+'Свод '!DR90+'Свод '!DT90+'Свод '!DV90+'Свод '!DX90+'Свод '!DZ90+'Свод '!EB90+'Свод '!ED90+'Свод '!EF90+'Свод '!EH90+'Свод '!EJ90+'Свод '!EL90+'Свод '!FJ90+'Свод '!FL90+'Свод '!FN90+'Свод '!FP90+'Свод '!FR90+'Свод '!FT90+'Свод '!FV90+'Свод '!FX90+'Свод '!FZ90+'Свод '!GB90+'Свод '!GD90+'Свод '!GF90+'Свод '!GH90+'Свод '!HF90+'Свод '!HH90+'Свод '!HJ90+'Свод '!HL90+'Свод '!HN90+'Свод '!HR90+Лист1!B90+Лист1!D90+Лист1!F90+Лист1!H90+Лист1!J90+Лист1!L90+Лист1!N90+Лист1!P90+'Свод '!DL90</f>
        <v>162032.17305</v>
      </c>
      <c r="AK90" s="39">
        <f>'Свод '!AC90+'Свод '!AE90+'Свод '!AM90+'Свод '!AO90+'Свод '!AQ90+'Свод '!BE90+'Свод '!BG90+'Свод '!BI90+'Свод '!BK90+'Свод '!BM90+'Свод '!BO90+'Свод '!BQ90+'Свод '!BS90+'Свод '!BU90+'Свод '!BW90+'Свод '!BY90+'Свод '!CA90+'Свод '!CI90+'Свод '!CK90+'Свод '!CM90+'Свод '!CO90+'Свод '!CQ90+'Свод '!CS90+'Свод '!CU90+'Свод '!CW90+'Свод '!CY90+'Свод '!DA90+'Свод '!DC90+'Свод '!DI90+'Свод '!DO90+'Свод '!DS90+'Свод '!DU90+'Свод '!DW90+'Свод '!DY90+'Свод '!EA90+'Свод '!EC90+'Свод '!EE90+'Свод '!EG90+'Свод '!EI90+'Свод '!EK90+'Свод '!EM90+'Свод '!FK90+'Свод '!FM90+'Свод '!FO90+'Свод '!FQ90+'Свод '!FS90+'Свод '!FU90+'Свод '!FW90+'Свод '!FY90+'Свод '!GA90+'Свод '!GC90+'Свод '!GE90+'Свод '!GG90+'Свод '!GI90+'Свод '!HG90+'Свод '!HI90+'Свод '!HK90+'Свод '!HM90+'Свод '!HO90+'Свод '!HS90+Лист1!C90+Лист1!E90+Лист1!G90+Лист1!I90+Лист1!K90+Лист1!M90+Лист1!O90+Лист1!Q90+'Свод '!DM90</f>
        <v>99828.80154999999</v>
      </c>
      <c r="AL90" s="144">
        <f>'Свод '!AF90+'Свод '!AJ90+'Свод '!BB90+'Свод '!CB90+'Свод '!CD90+'Свод '!EN90+'Свод '!FD90+'Свод '!FF90+'Свод '!GJ90+'Свод '!GL90+'Свод '!GN90+'Свод '!GP90+'Свод '!GR90+'Свод '!GT90+'Свод '!GV90+'Свод '!GX90+'Свод '!HT90+'Свод '!HV90</f>
        <v>224198.86700000003</v>
      </c>
      <c r="AM90" s="42">
        <f>'Свод '!AG90+'Свод '!AK90+'Свод '!BC90+'Свод '!CC90+'Свод '!CE90+'Свод '!EO90+'Свод '!FE90+'Свод '!FG90+'Свод '!GK90+'Свод '!GM90+'Свод '!GO90+'Свод '!GQ90+'Свод '!GS90+'Свод '!GU90+'Свод '!GW90+'Свод '!GY90+'Свод '!HU90+'Свод '!HW90</f>
        <v>224190.91700000002</v>
      </c>
      <c r="AN90" s="42">
        <f>'Свод '!J90+'Свод '!L90+'Свод '!N90+'Свод '!P90+'Свод '!R90+'Свод '!T90+'Свод '!V90+'Свод '!X90+'Свод '!Z90+'Свод '!AR90+'Свод '!AT90+'Свод '!AV90+'Свод '!AX90+'Свод '!DD90+'Свод '!EP90+'Свод '!ER90+'Свод '!ET90+'Свод '!EV90+'Свод '!EX90+'Свод '!EZ90+'Свод '!GZ90+'Свод '!HB90+T90+V90+Z90+AB90</f>
        <v>20864.264489999998</v>
      </c>
      <c r="AO90" s="42">
        <f>'Свод '!K90+'Свод '!M90+'Свод '!O90+'Свод '!Q90+'Свод '!S90+'Свод '!U90+'Свод '!W90+'Свод '!Y90+'Свод '!AA90+'Свод '!AS90+'Свод '!AU90+'Свод '!AW90+'Свод '!AY90+'Свод '!DE90+'Свод '!EQ90+'Свод '!ES90+'Свод '!EU90+'Свод '!EW90+'Свод '!EY90+'Свод '!FA90+'Свод '!HA90+'Свод '!HC90+U90+W90+AA90+AC90</f>
        <v>20861.923139999995</v>
      </c>
    </row>
    <row r="91" spans="1:41" ht="12.75">
      <c r="A91" s="103" t="s">
        <v>156</v>
      </c>
      <c r="B91" s="104">
        <v>1201</v>
      </c>
      <c r="C91" s="42">
        <v>427.5</v>
      </c>
      <c r="D91" s="40"/>
      <c r="E91" s="40"/>
      <c r="F91" s="43">
        <v>11</v>
      </c>
      <c r="G91" s="46"/>
      <c r="H91" s="40"/>
      <c r="I91" s="40"/>
      <c r="J91" s="105"/>
      <c r="K91" s="42"/>
      <c r="L91" s="40"/>
      <c r="M91" s="40"/>
      <c r="N91" s="40"/>
      <c r="O91" s="40"/>
      <c r="P91" s="40"/>
      <c r="Q91" s="40"/>
      <c r="R91" s="42">
        <f t="shared" si="8"/>
        <v>1212</v>
      </c>
      <c r="S91" s="42">
        <f t="shared" si="9"/>
        <v>427.5</v>
      </c>
      <c r="T91" s="42"/>
      <c r="U91" s="42"/>
      <c r="V91" s="40"/>
      <c r="W91" s="40"/>
      <c r="X91" s="42">
        <f t="shared" si="10"/>
        <v>0</v>
      </c>
      <c r="Y91" s="42">
        <f t="shared" si="11"/>
        <v>0</v>
      </c>
      <c r="Z91" s="42">
        <v>369.6</v>
      </c>
      <c r="AA91" s="42">
        <v>369.6</v>
      </c>
      <c r="AB91" s="40">
        <v>1580</v>
      </c>
      <c r="AC91" s="40">
        <v>1580</v>
      </c>
      <c r="AD91" s="42">
        <f t="shared" si="12"/>
        <v>1949.6</v>
      </c>
      <c r="AE91" s="42">
        <f t="shared" si="13"/>
        <v>1949.6</v>
      </c>
      <c r="AF91" s="42">
        <f>'Свод '!AH91+'Свод '!AZ91+'Свод '!BB91+'Свод '!CF91+'Свод '!DF91+'Свод '!DJ91+'Свод '!DP91+'Свод '!FB91+'Свод '!FH91+'Свод '!HD91+'Свод '!HP91+'Свод '!HX91+Лист1!R91+Лист1!AD91+X91</f>
        <v>531428.4249999999</v>
      </c>
      <c r="AG91" s="42">
        <f>'Свод '!AI91+'Свод '!BA91+'Свод '!BC91+'Свод '!CG91+'Свод '!DG91+'Свод '!DK91+'Свод '!DQ91+'Свод '!FC91+'Свод '!FI91+'Свод '!HE91+'Свод '!HQ91+'Свод '!HY91+Лист1!S91+Лист1!AE91+Y91</f>
        <v>469380.3109999999</v>
      </c>
      <c r="AH91" s="42">
        <f>'Свод '!B91+'Свод '!D91+'Свод '!F91+'Свод '!H91</f>
        <v>189889</v>
      </c>
      <c r="AI91" s="42">
        <f>'Свод '!C91+'Свод '!E91+'Свод '!G91+'Свод '!I91</f>
        <v>189889</v>
      </c>
      <c r="AJ91" s="39">
        <f>'Свод '!AB91+'Свод '!AD91+'Свод '!AL91+'Свод '!AN91+'Свод '!AP91+'Свод '!BD91+'Свод '!BF91+'Свод '!BH91+'Свод '!BJ91+'Свод '!BL91+'Свод '!BN91+'Свод '!BP91+'Свод '!BR91+'Свод '!BT91+'Свод '!BV91+'Свод '!BX91+'Свод '!BZ91+'Свод '!CH91+'Свод '!CJ91+'Свод '!CL91+'Свод '!CN91+'Свод '!CP91+'Свод '!CR91+'Свод '!CT91+'Свод '!CV91+'Свод '!CX91+'Свод '!CZ91+'Свод '!DB91+'Свод '!DH91+'Свод '!DN91+'Свод '!DR91+'Свод '!DT91+'Свод '!DV91+'Свод '!DX91+'Свод '!DZ91+'Свод '!EB91+'Свод '!ED91+'Свод '!EF91+'Свод '!EH91+'Свод '!EJ91+'Свод '!EL91+'Свод '!FJ91+'Свод '!FL91+'Свод '!FN91+'Свод '!FP91+'Свод '!FR91+'Свод '!FT91+'Свод '!FV91+'Свод '!FX91+'Свод '!FZ91+'Свод '!GB91+'Свод '!GD91+'Свод '!GF91+'Свод '!GH91+'Свод '!HF91+'Свод '!HH91+'Свод '!HJ91+'Свод '!HL91+'Свод '!HN91+'Свод '!HR91+Лист1!B91+Лист1!D91+Лист1!F91+Лист1!H91+Лист1!J91+Лист1!L91+Лист1!N91+Лист1!P91+'Свод '!DL91</f>
        <v>104457.55799999999</v>
      </c>
      <c r="AK91" s="39">
        <f>'Свод '!AC91+'Свод '!AE91+'Свод '!AM91+'Свод '!AO91+'Свод '!AQ91+'Свод '!BE91+'Свод '!BG91+'Свод '!BI91+'Свод '!BK91+'Свод '!BM91+'Свод '!BO91+'Свод '!BQ91+'Свод '!BS91+'Свод '!BU91+'Свод '!BW91+'Свод '!BY91+'Свод '!CA91+'Свод '!CI91+'Свод '!CK91+'Свод '!CM91+'Свод '!CO91+'Свод '!CQ91+'Свод '!CS91+'Свод '!CU91+'Свод '!CW91+'Свод '!CY91+'Свод '!DA91+'Свод '!DC91+'Свод '!DI91+'Свод '!DO91+'Свод '!DS91+'Свод '!DU91+'Свод '!DW91+'Свод '!DY91+'Свод '!EA91+'Свод '!EC91+'Свод '!EE91+'Свод '!EG91+'Свод '!EI91+'Свод '!EK91+'Свод '!EM91+'Свод '!FK91+'Свод '!FM91+'Свод '!FO91+'Свод '!FQ91+'Свод '!FS91+'Свод '!FU91+'Свод '!FW91+'Свод '!FY91+'Свод '!GA91+'Свод '!GC91+'Свод '!GE91+'Свод '!GG91+'Свод '!GI91+'Свод '!HG91+'Свод '!HI91+'Свод '!HK91+'Свод '!HM91+'Свод '!HO91+'Свод '!HS91+Лист1!C91+Лист1!E91+Лист1!G91+Лист1!I91+Лист1!K91+Лист1!M91+Лист1!O91+Лист1!Q91+'Свод '!DM91</f>
        <v>42417.394</v>
      </c>
      <c r="AL91" s="144">
        <f>'Свод '!AF91+'Свод '!AJ91+'Свод '!BB91+'Свод '!CB91+'Свод '!CD91+'Свод '!EN91+'Свод '!FD91+'Свод '!FF91+'Свод '!GJ91+'Свод '!GL91+'Свод '!GN91+'Свод '!GP91+'Свод '!GR91+'Свод '!GT91+'Свод '!GV91+'Свод '!GX91+'Свод '!HT91+'Свод '!HV91</f>
        <v>223169.86700000003</v>
      </c>
      <c r="AM91" s="42">
        <f>'Свод '!AG91+'Свод '!AK91+'Свод '!BC91+'Свод '!CC91+'Свод '!CE91+'Свод '!EO91+'Свод '!FE91+'Свод '!FG91+'Свод '!GK91+'Свод '!GM91+'Свод '!GO91+'Свод '!GQ91+'Свод '!GS91+'Свод '!GU91+'Свод '!GW91+'Свод '!GY91+'Свод '!HU91+'Свод '!HW91</f>
        <v>223161.91700000002</v>
      </c>
      <c r="AN91" s="42">
        <f>'Свод '!J91+'Свод '!L91+'Свод '!N91+'Свод '!P91+'Свод '!R91+'Свод '!T91+'Свод '!V91+'Свод '!X91+'Свод '!Z91+'Свод '!AR91+'Свод '!AT91+'Свод '!AV91+'Свод '!AX91+'Свод '!DD91+'Свод '!EP91+'Свод '!ER91+'Свод '!ET91+'Свод '!EV91+'Свод '!EX91+'Свод '!EZ91+'Свод '!GZ91+'Свод '!HB91+T91+V91+Z91+AB91</f>
        <v>13912</v>
      </c>
      <c r="AO91" s="42">
        <f>'Свод '!K91+'Свод '!M91+'Свод '!O91+'Свод '!Q91+'Свод '!S91+'Свод '!U91+'Свод '!W91+'Свод '!Y91+'Свод '!AA91+'Свод '!AS91+'Свод '!AU91+'Свод '!AW91+'Свод '!AY91+'Свод '!DE91+'Свод '!EQ91+'Свод '!ES91+'Свод '!EU91+'Свод '!EW91+'Свод '!EY91+'Свод '!FA91+'Свод '!HA91+'Свод '!HC91+U91+W91+AA91+AC91</f>
        <v>13912</v>
      </c>
    </row>
    <row r="92" spans="1:41" ht="12.75" customHeight="1">
      <c r="A92" s="109" t="s">
        <v>214</v>
      </c>
      <c r="B92" s="104"/>
      <c r="C92" s="42"/>
      <c r="D92" s="40"/>
      <c r="E92" s="40"/>
      <c r="F92" s="43"/>
      <c r="G92" s="46"/>
      <c r="H92" s="40"/>
      <c r="I92" s="40"/>
      <c r="J92" s="110"/>
      <c r="K92" s="42"/>
      <c r="L92" s="40"/>
      <c r="M92" s="40"/>
      <c r="N92" s="40"/>
      <c r="O92" s="40"/>
      <c r="P92" s="40"/>
      <c r="Q92" s="40"/>
      <c r="R92" s="42">
        <f t="shared" si="8"/>
        <v>0</v>
      </c>
      <c r="S92" s="42">
        <f t="shared" si="9"/>
        <v>0</v>
      </c>
      <c r="T92" s="42"/>
      <c r="U92" s="42"/>
      <c r="V92" s="40"/>
      <c r="W92" s="40"/>
      <c r="X92" s="42">
        <f t="shared" si="10"/>
        <v>0</v>
      </c>
      <c r="Y92" s="42">
        <f t="shared" si="11"/>
        <v>0</v>
      </c>
      <c r="Z92" s="42"/>
      <c r="AA92" s="42"/>
      <c r="AB92" s="40"/>
      <c r="AC92" s="40"/>
      <c r="AD92" s="42">
        <f t="shared" si="12"/>
        <v>0</v>
      </c>
      <c r="AE92" s="42">
        <f t="shared" si="13"/>
        <v>0</v>
      </c>
      <c r="AF92" s="42">
        <f>'Свод '!AH92+'Свод '!AZ92+'Свод '!BB92+'Свод '!CF92+'Свод '!DF92+'Свод '!DJ92+'Свод '!DP92+'Свод '!FB92+'Свод '!FH92+'Свод '!HD92+'Свод '!HP92+'Свод '!HX92+Лист1!R92+Лист1!AD92+X92</f>
        <v>56617.43336999999</v>
      </c>
      <c r="AG92" s="42">
        <f>'Свод '!AI92+'Свод '!BA92+'Свод '!BC92+'Свод '!CG92+'Свод '!DG92+'Свод '!DK92+'Свод '!DQ92+'Свод '!FC92+'Свод '!FI92+'Свод '!HE92+'Свод '!HQ92+'Свод '!HY92+Лист1!S92+Лист1!AE92+Y92</f>
        <v>56608.362369999995</v>
      </c>
      <c r="AH92" s="42">
        <f>'Свод '!B92+'Свод '!D92+'Свод '!F92+'Свод '!H92</f>
        <v>2451.0000000000005</v>
      </c>
      <c r="AI92" s="42">
        <f>'Свод '!C92+'Свод '!E92+'Свод '!G92+'Свод '!I92</f>
        <v>2451.0000000000005</v>
      </c>
      <c r="AJ92" s="39">
        <f>'Свод '!AB92+'Свод '!AD92+'Свод '!AL92+'Свод '!AN92+'Свод '!AP92+'Свод '!BD92+'Свод '!BF92+'Свод '!BH92+'Свод '!BJ92+'Свод '!BL92+'Свод '!BN92+'Свод '!BP92+'Свод '!BR92+'Свод '!BT92+'Свод '!BV92+'Свод '!BX92+'Свод '!BZ92+'Свод '!CH92+'Свод '!CJ92+'Свод '!CL92+'Свод '!CN92+'Свод '!CP92+'Свод '!CR92+'Свод '!CT92+'Свод '!CV92+'Свод '!CX92+'Свод '!CZ92+'Свод '!DB92+'Свод '!DH92+'Свод '!DN92+'Свод '!DR92+'Свод '!DT92+'Свод '!DV92+'Свод '!DX92+'Свод '!DZ92+'Свод '!EB92+'Свод '!ED92+'Свод '!EF92+'Свод '!EH92+'Свод '!EJ92+'Свод '!EL92+'Свод '!FJ92+'Свод '!FL92+'Свод '!FN92+'Свод '!FP92+'Свод '!FR92+'Свод '!FT92+'Свод '!FV92+'Свод '!FX92+'Свод '!FZ92+'Свод '!GB92+'Свод '!GD92+'Свод '!GF92+'Свод '!GH92+'Свод '!HF92+'Свод '!HH92+'Свод '!HJ92+'Свод '!HL92+'Свод '!HN92+'Свод '!HR92+Лист1!B92+Лист1!D92+Лист1!F92+Лист1!H92+Лист1!J92+Лист1!L92+Лист1!N92+Лист1!P92+'Свод '!DL92</f>
        <v>50174.82505</v>
      </c>
      <c r="AK92" s="39">
        <f>'Свод '!AC92+'Свод '!AE92+'Свод '!AM92+'Свод '!AO92+'Свод '!AQ92+'Свод '!BE92+'Свод '!BG92+'Свод '!BI92+'Свод '!BK92+'Свод '!BM92+'Свод '!BO92+'Свод '!BQ92+'Свод '!BS92+'Свод '!BU92+'Свод '!BW92+'Свод '!BY92+'Свод '!CA92+'Свод '!CI92+'Свод '!CK92+'Свод '!CM92+'Свод '!CO92+'Свод '!CQ92+'Свод '!CS92+'Свод '!CU92+'Свод '!CW92+'Свод '!CY92+'Свод '!DA92+'Свод '!DC92+'Свод '!DI92+'Свод '!DO92+'Свод '!DS92+'Свод '!DU92+'Свод '!DW92+'Свод '!DY92+'Свод '!EA92+'Свод '!EC92+'Свод '!EE92+'Свод '!EG92+'Свод '!EI92+'Свод '!EK92+'Свод '!EM92+'Свод '!FK92+'Свод '!FM92+'Свод '!FO92+'Свод '!FQ92+'Свод '!FS92+'Свод '!FU92+'Свод '!FW92+'Свод '!FY92+'Свод '!GA92+'Свод '!GC92+'Свод '!GE92+'Свод '!GG92+'Свод '!GI92+'Свод '!HG92+'Свод '!HI92+'Свод '!HK92+'Свод '!HM92+'Свод '!HO92+'Свод '!HS92+Лист1!C92+Лист1!E92+Лист1!G92+Лист1!I92+Лист1!K92+Лист1!M92+Лист1!O92+Лист1!Q92+'Свод '!DM92</f>
        <v>50165.754049999996</v>
      </c>
      <c r="AL92" s="144">
        <f>'Свод '!AF92+'Свод '!AJ92+'Свод '!BB92+'Свод '!CB92+'Свод '!CD92+'Свод '!EN92+'Свод '!FD92+'Свод '!FF92+'Свод '!GJ92+'Свод '!GL92+'Свод '!GN92+'Свод '!GP92+'Свод '!GR92+'Свод '!GT92+'Свод '!GV92+'Свод '!GX92+'Свод '!HT92+'Свод '!HV92</f>
        <v>0</v>
      </c>
      <c r="AM92" s="42">
        <f>'Свод '!AG92+'Свод '!AK92+'Свод '!BC92+'Свод '!CC92+'Свод '!CE92+'Свод '!EO92+'Свод '!FE92+'Свод '!FG92+'Свод '!GK92+'Свод '!GM92+'Свод '!GO92+'Свод '!GQ92+'Свод '!GS92+'Свод '!GU92+'Свод '!GW92+'Свод '!GY92+'Свод '!HU92+'Свод '!HW92</f>
        <v>0</v>
      </c>
      <c r="AN92" s="42">
        <f>'Свод '!J92+'Свод '!L92+'Свод '!N92+'Свод '!P92+'Свод '!R92+'Свод '!T92+'Свод '!V92+'Свод '!X92+'Свод '!Z92+'Свод '!AR92+'Свод '!AT92+'Свод '!AV92+'Свод '!AX92+'Свод '!DD92+'Свод '!EP92+'Свод '!ER92+'Свод '!ET92+'Свод '!EV92+'Свод '!EX92+'Свод '!EZ92+'Свод '!GZ92+'Свод '!HB92+T92+V92+Z92+AB92</f>
        <v>3991.60832</v>
      </c>
      <c r="AO92" s="42">
        <f>'Свод '!K92+'Свод '!M92+'Свод '!O92+'Свод '!Q92+'Свод '!S92+'Свод '!U92+'Свод '!W92+'Свод '!Y92+'Свод '!AA92+'Свод '!AS92+'Свод '!AU92+'Свод '!AW92+'Свод '!AY92+'Свод '!DE92+'Свод '!EQ92+'Свод '!ES92+'Свод '!EU92+'Свод '!EW92+'Свод '!EY92+'Свод '!FA92+'Свод '!HA92+'Свод '!HC92+U92+W92+AA92+AC92</f>
        <v>3991.60832</v>
      </c>
    </row>
    <row r="93" spans="1:41" ht="12.75">
      <c r="A93" s="109" t="s">
        <v>257</v>
      </c>
      <c r="B93" s="104"/>
      <c r="C93" s="42"/>
      <c r="D93" s="40"/>
      <c r="E93" s="40"/>
      <c r="F93" s="43"/>
      <c r="G93" s="46"/>
      <c r="H93" s="40"/>
      <c r="I93" s="40"/>
      <c r="J93" s="110"/>
      <c r="K93" s="42"/>
      <c r="L93" s="40"/>
      <c r="M93" s="40"/>
      <c r="N93" s="40"/>
      <c r="O93" s="40"/>
      <c r="P93" s="40"/>
      <c r="Q93" s="40"/>
      <c r="R93" s="42">
        <f t="shared" si="8"/>
        <v>0</v>
      </c>
      <c r="S93" s="42">
        <f t="shared" si="9"/>
        <v>0</v>
      </c>
      <c r="T93" s="42"/>
      <c r="U93" s="42"/>
      <c r="V93" s="40"/>
      <c r="W93" s="40"/>
      <c r="X93" s="42">
        <f t="shared" si="10"/>
        <v>0</v>
      </c>
      <c r="Y93" s="42">
        <f t="shared" si="11"/>
        <v>0</v>
      </c>
      <c r="Z93" s="42"/>
      <c r="AA93" s="42"/>
      <c r="AB93" s="40"/>
      <c r="AC93" s="40"/>
      <c r="AD93" s="42">
        <f t="shared" si="12"/>
        <v>0</v>
      </c>
      <c r="AE93" s="42">
        <f t="shared" si="13"/>
        <v>0</v>
      </c>
      <c r="AF93" s="42">
        <f>'Свод '!AH93+'Свод '!AZ93+'Свод '!BB93+'Свод '!CF93+'Свод '!DF93+'Свод '!DJ93+'Свод '!DP93+'Свод '!FB93+'Свод '!FH93+'Свод '!HD93+'Свод '!HP93+'Свод '!HX93+Лист1!R93+Лист1!AD93+X93</f>
        <v>7092.10513</v>
      </c>
      <c r="AG93" s="42">
        <f>'Свод '!AI93+'Свод '!BA93+'Свод '!BC93+'Свод '!CG93+'Свод '!DG93+'Свод '!DK93+'Свод '!DQ93+'Свод '!FC93+'Свод '!FI93+'Свод '!HE93+'Свод '!HQ93+'Свод '!HY93+Лист1!S93+Лист1!AE93+Y93</f>
        <v>7034.27913</v>
      </c>
      <c r="AH93" s="42">
        <f>'Свод '!B93+'Свод '!D93+'Свод '!F93+'Свод '!H93</f>
        <v>2650.9999999999995</v>
      </c>
      <c r="AI93" s="42">
        <f>'Свод '!C93+'Свод '!E93+'Свод '!G93+'Свод '!I93</f>
        <v>2650.9999999999995</v>
      </c>
      <c r="AJ93" s="39">
        <f>'Свод '!AB93+'Свод '!AD93+'Свод '!AL93+'Свод '!AN93+'Свод '!AP93+'Свод '!BD93+'Свод '!BF93+'Свод '!BH93+'Свод '!BJ93+'Свод '!BL93+'Свод '!BN93+'Свод '!BP93+'Свод '!BR93+'Свод '!BT93+'Свод '!BV93+'Свод '!BX93+'Свод '!BZ93+'Свод '!CH93+'Свод '!CJ93+'Свод '!CL93+'Свод '!CN93+'Свод '!CP93+'Свод '!CR93+'Свод '!CT93+'Свод '!CV93+'Свод '!CX93+'Свод '!CZ93+'Свод '!DB93+'Свод '!DH93+'Свод '!DN93+'Свод '!DR93+'Свод '!DT93+'Свод '!DV93+'Свод '!DX93+'Свод '!DZ93+'Свод '!EB93+'Свод '!ED93+'Свод '!EF93+'Свод '!EH93+'Свод '!EJ93+'Свод '!EL93+'Свод '!FJ93+'Свод '!FL93+'Свод '!FN93+'Свод '!FP93+'Свод '!FR93+'Свод '!FT93+'Свод '!FV93+'Свод '!FX93+'Свод '!FZ93+'Свод '!GB93+'Свод '!GD93+'Свод '!GF93+'Свод '!GH93+'Свод '!HF93+'Свод '!HH93+'Свод '!HJ93+'Свод '!HL93+'Свод '!HN93+'Свод '!HR93+Лист1!B93+Лист1!D93+Лист1!F93+Лист1!H93+Лист1!J93+Лист1!L93+Лист1!N93+Лист1!P93+'Свод '!DL93</f>
        <v>2490</v>
      </c>
      <c r="AK93" s="39">
        <f>'Свод '!AC93+'Свод '!AE93+'Свод '!AM93+'Свод '!AO93+'Свод '!AQ93+'Свод '!BE93+'Свод '!BG93+'Свод '!BI93+'Свод '!BK93+'Свод '!BM93+'Свод '!BO93+'Свод '!BQ93+'Свод '!BS93+'Свод '!BU93+'Свод '!BW93+'Свод '!BY93+'Свод '!CA93+'Свод '!CI93+'Свод '!CK93+'Свод '!CM93+'Свод '!CO93+'Свод '!CQ93+'Свод '!CS93+'Свод '!CU93+'Свод '!CW93+'Свод '!CY93+'Свод '!DA93+'Свод '!DC93+'Свод '!DI93+'Свод '!DO93+'Свод '!DS93+'Свод '!DU93+'Свод '!DW93+'Свод '!DY93+'Свод '!EA93+'Свод '!EC93+'Свод '!EE93+'Свод '!EG93+'Свод '!EI93+'Свод '!EK93+'Свод '!EM93+'Свод '!FK93+'Свод '!FM93+'Свод '!FO93+'Свод '!FQ93+'Свод '!FS93+'Свод '!FU93+'Свод '!FW93+'Свод '!FY93+'Свод '!GA93+'Свод '!GC93+'Свод '!GE93+'Свод '!GG93+'Свод '!GI93+'Свод '!HG93+'Свод '!HI93+'Свод '!HK93+'Свод '!HM93+'Свод '!HO93+'Свод '!HS93+Лист1!C93+Лист1!E93+Лист1!G93+Лист1!I93+Лист1!K93+Лист1!M93+Лист1!O93+Лист1!Q93+'Свод '!DM93</f>
        <v>2432.174</v>
      </c>
      <c r="AL93" s="144">
        <f>'Свод '!AF93+'Свод '!AJ93+'Свод '!BB93+'Свод '!CB93+'Свод '!CD93+'Свод '!EN93+'Свод '!FD93+'Свод '!FF93+'Свод '!GJ93+'Свод '!GL93+'Свод '!GN93+'Свод '!GP93+'Свод '!GR93+'Свод '!GT93+'Свод '!GV93+'Свод '!GX93+'Свод '!HT93+'Свод '!HV93</f>
        <v>147</v>
      </c>
      <c r="AM93" s="42">
        <f>'Свод '!AG93+'Свод '!AK93+'Свод '!BC93+'Свод '!CC93+'Свод '!CE93+'Свод '!EO93+'Свод '!FE93+'Свод '!FG93+'Свод '!GK93+'Свод '!GM93+'Свод '!GO93+'Свод '!GQ93+'Свод '!GS93+'Свод '!GU93+'Свод '!GW93+'Свод '!GY93+'Свод '!HU93+'Свод '!HW93</f>
        <v>147</v>
      </c>
      <c r="AN93" s="42">
        <f>'Свод '!J93+'Свод '!L93+'Свод '!N93+'Свод '!P93+'Свод '!R93+'Свод '!T93+'Свод '!V93+'Свод '!X93+'Свод '!Z93+'Свод '!AR93+'Свод '!AT93+'Свод '!AV93+'Свод '!AX93+'Свод '!DD93+'Свод '!EP93+'Свод '!ER93+'Свод '!ET93+'Свод '!EV93+'Свод '!EX93+'Свод '!EZ93+'Свод '!GZ93+'Свод '!HB93+T93+V93+Z93+AB93</f>
        <v>1804.1051300000001</v>
      </c>
      <c r="AO93" s="42">
        <f>'Свод '!K93+'Свод '!M93+'Свод '!O93+'Свод '!Q93+'Свод '!S93+'Свод '!U93+'Свод '!W93+'Свод '!Y93+'Свод '!AA93+'Свод '!AS93+'Свод '!AU93+'Свод '!AW93+'Свод '!AY93+'Свод '!DE93+'Свод '!EQ93+'Свод '!ES93+'Свод '!EU93+'Свод '!EW93+'Свод '!EY93+'Свод '!FA93+'Свод '!HA93+'Свод '!HC93+U93+W93+AA93+AC93</f>
        <v>1804.10513</v>
      </c>
    </row>
    <row r="94" spans="1:41" ht="12.75" customHeight="1">
      <c r="A94" s="109" t="s">
        <v>258</v>
      </c>
      <c r="B94" s="104"/>
      <c r="C94" s="42"/>
      <c r="D94" s="40"/>
      <c r="E94" s="40"/>
      <c r="F94" s="43"/>
      <c r="G94" s="46"/>
      <c r="H94" s="40"/>
      <c r="I94" s="40"/>
      <c r="J94" s="110"/>
      <c r="K94" s="42"/>
      <c r="L94" s="40"/>
      <c r="M94" s="40"/>
      <c r="N94" s="40"/>
      <c r="O94" s="40"/>
      <c r="P94" s="40"/>
      <c r="Q94" s="40"/>
      <c r="R94" s="42">
        <f t="shared" si="8"/>
        <v>0</v>
      </c>
      <c r="S94" s="42">
        <f t="shared" si="9"/>
        <v>0</v>
      </c>
      <c r="T94" s="42"/>
      <c r="U94" s="42"/>
      <c r="V94" s="40"/>
      <c r="W94" s="40"/>
      <c r="X94" s="42">
        <f t="shared" si="10"/>
        <v>0</v>
      </c>
      <c r="Y94" s="42">
        <f t="shared" si="11"/>
        <v>0</v>
      </c>
      <c r="Z94" s="42"/>
      <c r="AA94" s="42"/>
      <c r="AB94" s="40"/>
      <c r="AC94" s="40"/>
      <c r="AD94" s="42">
        <f t="shared" si="12"/>
        <v>0</v>
      </c>
      <c r="AE94" s="42">
        <f t="shared" si="13"/>
        <v>0</v>
      </c>
      <c r="AF94" s="42">
        <f>'Свод '!AH94+'Свод '!AZ94+'Свод '!BB94+'Свод '!CF94+'Свод '!DF94+'Свод '!DJ94+'Свод '!DP94+'Свод '!FB94+'Свод '!FH94+'Свод '!HD94+'Свод '!HP94+'Свод '!HX94+Лист1!R94+Лист1!AD94+X94</f>
        <v>5564.6776500000005</v>
      </c>
      <c r="AG94" s="42">
        <f>'Свод '!AI94+'Свод '!BA94+'Свод '!BC94+'Свод '!CG94+'Свод '!DG94+'Свод '!DK94+'Свод '!DQ94+'Свод '!FC94+'Свод '!FI94+'Свод '!HE94+'Свод '!HQ94+'Свод '!HY94+Лист1!S94+Лист1!AE94+Y94</f>
        <v>5557.66265</v>
      </c>
      <c r="AH94" s="42">
        <f>'Свод '!B94+'Свод '!D94+'Свод '!F94+'Свод '!H94</f>
        <v>3110</v>
      </c>
      <c r="AI94" s="42">
        <f>'Свод '!C94+'Свод '!E94+'Свод '!G94+'Свод '!I94</f>
        <v>3110</v>
      </c>
      <c r="AJ94" s="39">
        <f>'Свод '!AB94+'Свод '!AD94+'Свод '!AL94+'Свод '!AN94+'Свод '!AP94+'Свод '!BD94+'Свод '!BF94+'Свод '!BH94+'Свод '!BJ94+'Свод '!BL94+'Свод '!BN94+'Свод '!BP94+'Свод '!BR94+'Свод '!BT94+'Свод '!BV94+'Свод '!BX94+'Свод '!BZ94+'Свод '!CH94+'Свод '!CJ94+'Свод '!CL94+'Свод '!CN94+'Свод '!CP94+'Свод '!CR94+'Свод '!CT94+'Свод '!CV94+'Свод '!CX94+'Свод '!CZ94+'Свод '!DB94+'Свод '!DH94+'Свод '!DN94+'Свод '!DR94+'Свод '!DT94+'Свод '!DV94+'Свод '!DX94+'Свод '!DZ94+'Свод '!EB94+'Свод '!ED94+'Свод '!EF94+'Свод '!EH94+'Свод '!EJ94+'Свод '!EL94+'Свод '!FJ94+'Свод '!FL94+'Свод '!FN94+'Свод '!FP94+'Свод '!FR94+'Свод '!FT94+'Свод '!FV94+'Свод '!FX94+'Свод '!FZ94+'Свод '!GB94+'Свод '!GD94+'Свод '!GF94+'Свод '!GH94+'Свод '!HF94+'Свод '!HH94+'Свод '!HJ94+'Свод '!HL94+'Свод '!HN94+'Свод '!HR94+Лист1!B94+Лист1!D94+Лист1!F94+Лист1!H94+Лист1!J94+Лист1!L94+Лист1!N94+Лист1!P94+'Свод '!DL94</f>
        <v>2289.39</v>
      </c>
      <c r="AK94" s="39">
        <f>'Свод '!AC94+'Свод '!AE94+'Свод '!AM94+'Свод '!AO94+'Свод '!AQ94+'Свод '!BE94+'Свод '!BG94+'Свод '!BI94+'Свод '!BK94+'Свод '!BM94+'Свод '!BO94+'Свод '!BQ94+'Свод '!BS94+'Свод '!BU94+'Свод '!BW94+'Свод '!BY94+'Свод '!CA94+'Свод '!CI94+'Свод '!CK94+'Свод '!CM94+'Свод '!CO94+'Свод '!CQ94+'Свод '!CS94+'Свод '!CU94+'Свод '!CW94+'Свод '!CY94+'Свод '!DA94+'Свод '!DC94+'Свод '!DI94+'Свод '!DO94+'Свод '!DS94+'Свод '!DU94+'Свод '!DW94+'Свод '!DY94+'Свод '!EA94+'Свод '!EC94+'Свод '!EE94+'Свод '!EG94+'Свод '!EI94+'Свод '!EK94+'Свод '!EM94+'Свод '!FK94+'Свод '!FM94+'Свод '!FO94+'Свод '!FQ94+'Свод '!FS94+'Свод '!FU94+'Свод '!FW94+'Свод '!FY94+'Свод '!GA94+'Свод '!GC94+'Свод '!GE94+'Свод '!GG94+'Свод '!GI94+'Свод '!HG94+'Свод '!HI94+'Свод '!HK94+'Свод '!HM94+'Свод '!HO94+'Свод '!HS94+Лист1!C94+Лист1!E94+Лист1!G94+Лист1!I94+Лист1!K94+Лист1!M94+Лист1!O94+Лист1!Q94+'Свод '!DM94</f>
        <v>2282.375</v>
      </c>
      <c r="AL94" s="144">
        <f>'Свод '!AF94+'Свод '!AJ94+'Свод '!BB94+'Свод '!CB94+'Свод '!CD94+'Свод '!EN94+'Свод '!FD94+'Свод '!FF94+'Свод '!GJ94+'Свод '!GL94+'Свод '!GN94+'Свод '!GP94+'Свод '!GR94+'Свод '!GT94+'Свод '!GV94+'Свод '!GX94+'Свод '!HT94+'Свод '!HV94</f>
        <v>147</v>
      </c>
      <c r="AM94" s="42">
        <f>'Свод '!AG94+'Свод '!AK94+'Свод '!BC94+'Свод '!CC94+'Свод '!CE94+'Свод '!EO94+'Свод '!FE94+'Свод '!FG94+'Свод '!GK94+'Свод '!GM94+'Свод '!GO94+'Свод '!GQ94+'Свод '!GS94+'Свод '!GU94+'Свод '!GW94+'Свод '!GY94+'Свод '!HU94+'Свод '!HW94</f>
        <v>147</v>
      </c>
      <c r="AN94" s="42">
        <f>'Свод '!J94+'Свод '!L94+'Свод '!N94+'Свод '!P94+'Свод '!R94+'Свод '!T94+'Свод '!V94+'Свод '!X94+'Свод '!Z94+'Свод '!AR94+'Свод '!AT94+'Свод '!AV94+'Свод '!AX94+'Свод '!DD94+'Свод '!EP94+'Свод '!ER94+'Свод '!ET94+'Свод '!EV94+'Свод '!EX94+'Свод '!EZ94+'Свод '!GZ94+'Свод '!HB94+T94+V94+Z94+AB94</f>
        <v>18.28765</v>
      </c>
      <c r="AO94" s="42">
        <f>'Свод '!K94+'Свод '!M94+'Свод '!O94+'Свод '!Q94+'Свод '!S94+'Свод '!U94+'Свод '!W94+'Свод '!Y94+'Свод '!AA94+'Свод '!AS94+'Свод '!AU94+'Свод '!AW94+'Свод '!AY94+'Свод '!DE94+'Свод '!EQ94+'Свод '!ES94+'Свод '!EU94+'Свод '!EW94+'Свод '!EY94+'Свод '!FA94+'Свод '!HA94+'Свод '!HC94+U94+W94+AA94+AC94</f>
        <v>18.28765</v>
      </c>
    </row>
    <row r="95" spans="1:41" ht="12.75">
      <c r="A95" s="109" t="s">
        <v>259</v>
      </c>
      <c r="B95" s="104"/>
      <c r="C95" s="42"/>
      <c r="D95" s="40"/>
      <c r="E95" s="40"/>
      <c r="F95" s="43"/>
      <c r="G95" s="46"/>
      <c r="H95" s="40"/>
      <c r="I95" s="40"/>
      <c r="J95" s="110"/>
      <c r="K95" s="42"/>
      <c r="L95" s="40"/>
      <c r="M95" s="40"/>
      <c r="N95" s="40"/>
      <c r="O95" s="40"/>
      <c r="P95" s="40"/>
      <c r="Q95" s="40"/>
      <c r="R95" s="42">
        <f t="shared" si="8"/>
        <v>0</v>
      </c>
      <c r="S95" s="42">
        <f t="shared" si="9"/>
        <v>0</v>
      </c>
      <c r="T95" s="42"/>
      <c r="U95" s="42"/>
      <c r="V95" s="40"/>
      <c r="W95" s="40"/>
      <c r="X95" s="42">
        <f t="shared" si="10"/>
        <v>0</v>
      </c>
      <c r="Y95" s="42">
        <f t="shared" si="11"/>
        <v>0</v>
      </c>
      <c r="Z95" s="42"/>
      <c r="AA95" s="42"/>
      <c r="AB95" s="40"/>
      <c r="AC95" s="40"/>
      <c r="AD95" s="42">
        <f t="shared" si="12"/>
        <v>0</v>
      </c>
      <c r="AE95" s="42">
        <f t="shared" si="13"/>
        <v>0</v>
      </c>
      <c r="AF95" s="42">
        <f>'Свод '!AH95+'Свод '!AZ95+'Свод '!BB95+'Свод '!CF95+'Свод '!DF95+'Свод '!DJ95+'Свод '!DP95+'Свод '!FB95+'Свод '!FH95+'Свод '!HD95+'Свод '!HP95+'Свод '!HX95+Лист1!R95+Лист1!AD95+X95</f>
        <v>6309.14124</v>
      </c>
      <c r="AG95" s="42">
        <f>'Свод '!AI95+'Свод '!BA95+'Свод '!BC95+'Свод '!CG95+'Свод '!DG95+'Свод '!DK95+'Свод '!DQ95+'Свод '!FC95+'Свод '!FI95+'Свод '!HE95+'Свод '!HQ95+'Свод '!HY95+Лист1!S95+Лист1!AE95+Y95</f>
        <v>6304.14124</v>
      </c>
      <c r="AH95" s="42">
        <f>'Свод '!B95+'Свод '!D95+'Свод '!F95+'Свод '!H95</f>
        <v>5978</v>
      </c>
      <c r="AI95" s="42">
        <f>'Свод '!C95+'Свод '!E95+'Свод '!G95+'Свод '!I95</f>
        <v>5978</v>
      </c>
      <c r="AJ95" s="39">
        <f>'Свод '!AB95+'Свод '!AD95+'Свод '!AL95+'Свод '!AN95+'Свод '!AP95+'Свод '!BD95+'Свод '!BF95+'Свод '!BH95+'Свод '!BJ95+'Свод '!BL95+'Свод '!BN95+'Свод '!BP95+'Свод '!BR95+'Свод '!BT95+'Свод '!BV95+'Свод '!BX95+'Свод '!BZ95+'Свод '!CH95+'Свод '!CJ95+'Свод '!CL95+'Свод '!CN95+'Свод '!CP95+'Свод '!CR95+'Свод '!CT95+'Свод '!CV95+'Свод '!CX95+'Свод '!CZ95+'Свод '!DB95+'Свод '!DH95+'Свод '!DN95+'Свод '!DR95+'Свод '!DT95+'Свод '!DV95+'Свод '!DX95+'Свод '!DZ95+'Свод '!EB95+'Свод '!ED95+'Свод '!EF95+'Свод '!EH95+'Свод '!EJ95+'Свод '!EL95+'Свод '!FJ95+'Свод '!FL95+'Свод '!FN95+'Свод '!FP95+'Свод '!FR95+'Свод '!FT95+'Свод '!FV95+'Свод '!FX95+'Свод '!FZ95+'Свод '!GB95+'Свод '!GD95+'Свод '!GF95+'Свод '!GH95+'Свод '!HF95+'Свод '!HH95+'Свод '!HJ95+'Свод '!HL95+'Свод '!HN95+'Свод '!HR95+Лист1!B95+Лист1!D95+Лист1!F95+Лист1!H95+Лист1!J95+Лист1!L95+Лист1!N95+Лист1!P95+'Свод '!DL95</f>
        <v>143</v>
      </c>
      <c r="AK95" s="39">
        <f>'Свод '!AC95+'Свод '!AE95+'Свод '!AM95+'Свод '!AO95+'Свод '!AQ95+'Свод '!BE95+'Свод '!BG95+'Свод '!BI95+'Свод '!BK95+'Свод '!BM95+'Свод '!BO95+'Свод '!BQ95+'Свод '!BS95+'Свод '!BU95+'Свод '!BW95+'Свод '!BY95+'Свод '!CA95+'Свод '!CI95+'Свод '!CK95+'Свод '!CM95+'Свод '!CO95+'Свод '!CQ95+'Свод '!CS95+'Свод '!CU95+'Свод '!CW95+'Свод '!CY95+'Свод '!DA95+'Свод '!DC95+'Свод '!DI95+'Свод '!DO95+'Свод '!DS95+'Свод '!DU95+'Свод '!DW95+'Свод '!DY95+'Свод '!EA95+'Свод '!EC95+'Свод '!EE95+'Свод '!EG95+'Свод '!EI95+'Свод '!EK95+'Свод '!EM95+'Свод '!FK95+'Свод '!FM95+'Свод '!FO95+'Свод '!FQ95+'Свод '!FS95+'Свод '!FU95+'Свод '!FW95+'Свод '!FY95+'Свод '!GA95+'Свод '!GC95+'Свод '!GE95+'Свод '!GG95+'Свод '!GI95+'Свод '!HG95+'Свод '!HI95+'Свод '!HK95+'Свод '!HM95+'Свод '!HO95+'Свод '!HS95+Лист1!C95+Лист1!E95+Лист1!G95+Лист1!I95+Лист1!K95+Лист1!M95+Лист1!O95+Лист1!Q95+'Свод '!DM95</f>
        <v>138</v>
      </c>
      <c r="AL95" s="144">
        <f>'Свод '!AF95+'Свод '!AJ95+'Свод '!BB95+'Свод '!CB95+'Свод '!CD95+'Свод '!EN95+'Свод '!FD95+'Свод '!FF95+'Свод '!GJ95+'Свод '!GL95+'Свод '!GN95+'Свод '!GP95+'Свод '!GR95+'Свод '!GT95+'Свод '!GV95+'Свод '!GX95+'Свод '!HT95+'Свод '!HV95</f>
        <v>147</v>
      </c>
      <c r="AM95" s="42">
        <f>'Свод '!AG95+'Свод '!AK95+'Свод '!BC95+'Свод '!CC95+'Свод '!CE95+'Свод '!EO95+'Свод '!FE95+'Свод '!FG95+'Свод '!GK95+'Свод '!GM95+'Свод '!GO95+'Свод '!GQ95+'Свод '!GS95+'Свод '!GU95+'Свод '!GW95+'Свод '!GY95+'Свод '!HU95+'Свод '!HW95</f>
        <v>147</v>
      </c>
      <c r="AN95" s="42">
        <f>'Свод '!J95+'Свод '!L95+'Свод '!N95+'Свод '!P95+'Свод '!R95+'Свод '!T95+'Свод '!V95+'Свод '!X95+'Свод '!Z95+'Свод '!AR95+'Свод '!AT95+'Свод '!AV95+'Свод '!AX95+'Свод '!DD95+'Свод '!EP95+'Свод '!ER95+'Свод '!ET95+'Свод '!EV95+'Свод '!EX95+'Свод '!EZ95+'Свод '!GZ95+'Свод '!HB95+T95+V95+Z95+AB95</f>
        <v>41.14124</v>
      </c>
      <c r="AO95" s="42">
        <f>'Свод '!K95+'Свод '!M95+'Свод '!O95+'Свод '!Q95+'Свод '!S95+'Свод '!U95+'Свод '!W95+'Свод '!Y95+'Свод '!AA95+'Свод '!AS95+'Свод '!AU95+'Свод '!AW95+'Свод '!AY95+'Свод '!DE95+'Свод '!EQ95+'Свод '!ES95+'Свод '!EU95+'Свод '!EW95+'Свод '!EY95+'Свод '!FA95+'Свод '!HA95+'Свод '!HC95+U95+W95+AA95+AC95</f>
        <v>41.14124</v>
      </c>
    </row>
    <row r="96" spans="1:41" ht="12.75" customHeight="1">
      <c r="A96" s="109" t="s">
        <v>260</v>
      </c>
      <c r="B96" s="104"/>
      <c r="C96" s="42"/>
      <c r="D96" s="40"/>
      <c r="E96" s="40"/>
      <c r="F96" s="43"/>
      <c r="G96" s="46"/>
      <c r="H96" s="40"/>
      <c r="I96" s="40"/>
      <c r="J96" s="110"/>
      <c r="K96" s="42"/>
      <c r="L96" s="40"/>
      <c r="M96" s="40"/>
      <c r="N96" s="40"/>
      <c r="O96" s="40"/>
      <c r="P96" s="40"/>
      <c r="Q96" s="40"/>
      <c r="R96" s="42">
        <f t="shared" si="8"/>
        <v>0</v>
      </c>
      <c r="S96" s="42">
        <f t="shared" si="9"/>
        <v>0</v>
      </c>
      <c r="T96" s="42"/>
      <c r="U96" s="42"/>
      <c r="V96" s="40"/>
      <c r="W96" s="40"/>
      <c r="X96" s="42">
        <f t="shared" si="10"/>
        <v>0</v>
      </c>
      <c r="Y96" s="42">
        <f t="shared" si="11"/>
        <v>0</v>
      </c>
      <c r="Z96" s="42"/>
      <c r="AA96" s="42"/>
      <c r="AB96" s="40"/>
      <c r="AC96" s="40"/>
      <c r="AD96" s="42">
        <f t="shared" si="12"/>
        <v>0</v>
      </c>
      <c r="AE96" s="42">
        <f t="shared" si="13"/>
        <v>0</v>
      </c>
      <c r="AF96" s="42">
        <f>'Свод '!AH96+'Свод '!AZ96+'Свод '!BB96+'Свод '!CF96+'Свод '!DF96+'Свод '!DJ96+'Свод '!DP96+'Свод '!FB96+'Свод '!FH96+'Свод '!HD96+'Свод '!HP96+'Свод '!HX96+Лист1!R96+Лист1!AD96+X96</f>
        <v>3590.6430800000003</v>
      </c>
      <c r="AG96" s="42">
        <f>'Свод '!AI96+'Свод '!BA96+'Свод '!BC96+'Свод '!CG96+'Свод '!DG96+'Свод '!DK96+'Свод '!DQ96+'Свод '!FC96+'Свод '!FI96+'Свод '!HE96+'Свод '!HQ96+'Свод '!HY96+Лист1!S96+Лист1!AE96+Y96</f>
        <v>3558.45258</v>
      </c>
      <c r="AH96" s="42">
        <f>'Свод '!B96+'Свод '!D96+'Свод '!F96+'Свод '!H96</f>
        <v>2242</v>
      </c>
      <c r="AI96" s="42">
        <f>'Свод '!C96+'Свод '!E96+'Свод '!G96+'Свод '!I96</f>
        <v>2242</v>
      </c>
      <c r="AJ96" s="39">
        <f>'Свод '!AB96+'Свод '!AD96+'Свод '!AL96+'Свод '!AN96+'Свод '!AP96+'Свод '!BD96+'Свод '!BF96+'Свод '!BH96+'Свод '!BJ96+'Свод '!BL96+'Свод '!BN96+'Свод '!BP96+'Свод '!BR96+'Свод '!BT96+'Свод '!BV96+'Свод '!BX96+'Свод '!BZ96+'Свод '!CH96+'Свод '!CJ96+'Свод '!CL96+'Свод '!CN96+'Свод '!CP96+'Свод '!CR96+'Свод '!CT96+'Свод '!CV96+'Свод '!CX96+'Свод '!CZ96+'Свод '!DB96+'Свод '!DH96+'Свод '!DN96+'Свод '!DR96+'Свод '!DT96+'Свод '!DV96+'Свод '!DX96+'Свод '!DZ96+'Свод '!EB96+'Свод '!ED96+'Свод '!EF96+'Свод '!EH96+'Свод '!EJ96+'Свод '!EL96+'Свод '!FJ96+'Свод '!FL96+'Свод '!FN96+'Свод '!FP96+'Свод '!FR96+'Свод '!FT96+'Свод '!FV96+'Свод '!FX96+'Свод '!FZ96+'Свод '!GB96+'Свод '!GD96+'Свод '!GF96+'Свод '!GH96+'Свод '!HF96+'Свод '!HH96+'Свод '!HJ96+'Свод '!HL96+'Свод '!HN96+'Свод '!HR96+Лист1!B96+Лист1!D96+Лист1!F96+Лист1!H96+Лист1!J96+Лист1!L96+Лист1!N96+Лист1!P96+'Свод '!DL96</f>
        <v>990.3</v>
      </c>
      <c r="AK96" s="39">
        <f>'Свод '!AC96+'Свод '!AE96+'Свод '!AM96+'Свод '!AO96+'Свод '!AQ96+'Свод '!BE96+'Свод '!BG96+'Свод '!BI96+'Свод '!BK96+'Свод '!BM96+'Свод '!BO96+'Свод '!BQ96+'Свод '!BS96+'Свод '!BU96+'Свод '!BW96+'Свод '!BY96+'Свод '!CA96+'Свод '!CI96+'Свод '!CK96+'Свод '!CM96+'Свод '!CO96+'Свод '!CQ96+'Свод '!CS96+'Свод '!CU96+'Свод '!CW96+'Свод '!CY96+'Свод '!DA96+'Свод '!DC96+'Свод '!DI96+'Свод '!DO96+'Свод '!DS96+'Свод '!DU96+'Свод '!DW96+'Свод '!DY96+'Свод '!EA96+'Свод '!EC96+'Свод '!EE96+'Свод '!EG96+'Свод '!EI96+'Свод '!EK96+'Свод '!EM96+'Свод '!FK96+'Свод '!FM96+'Свод '!FO96+'Свод '!FQ96+'Свод '!FS96+'Свод '!FU96+'Свод '!FW96+'Свод '!FY96+'Свод '!GA96+'Свод '!GC96+'Свод '!GE96+'Свод '!GG96+'Свод '!GI96+'Свод '!HG96+'Свод '!HI96+'Свод '!HK96+'Свод '!HM96+'Свод '!HO96+'Свод '!HS96+Лист1!C96+Лист1!E96+Лист1!G96+Лист1!I96+Лист1!K96+Лист1!M96+Лист1!O96+Лист1!Q96+'Свод '!DM96</f>
        <v>958.1094999999999</v>
      </c>
      <c r="AL96" s="144">
        <f>'Свод '!AF96+'Свод '!AJ96+'Свод '!BB96+'Свод '!CB96+'Свод '!CD96+'Свод '!EN96+'Свод '!FD96+'Свод '!FF96+'Свод '!GJ96+'Свод '!GL96+'Свод '!GN96+'Свод '!GP96+'Свод '!GR96+'Свод '!GT96+'Свод '!GV96+'Свод '!GX96+'Свод '!HT96+'Свод '!HV96</f>
        <v>147</v>
      </c>
      <c r="AM96" s="42">
        <f>'Свод '!AG96+'Свод '!AK96+'Свод '!BC96+'Свод '!CC96+'Свод '!CE96+'Свод '!EO96+'Свод '!FE96+'Свод '!FG96+'Свод '!GK96+'Свод '!GM96+'Свод '!GO96+'Свод '!GQ96+'Свод '!GS96+'Свод '!GU96+'Свод '!GW96+'Свод '!GY96+'Свод '!HU96+'Свод '!HW96</f>
        <v>146.99999999999997</v>
      </c>
      <c r="AN96" s="42">
        <f>'Свод '!J96+'Свод '!L96+'Свод '!N96+'Свод '!P96+'Свод '!R96+'Свод '!T96+'Свод '!V96+'Свод '!X96+'Свод '!Z96+'Свод '!AR96+'Свод '!AT96+'Свод '!AV96+'Свод '!AX96+'Свод '!DD96+'Свод '!EP96+'Свод '!ER96+'Свод '!ET96+'Свод '!EV96+'Свод '!EX96+'Свод '!EZ96+'Свод '!GZ96+'Свод '!HB96+T96+V96+Z96+AB96</f>
        <v>211.34308</v>
      </c>
      <c r="AO96" s="42">
        <f>'Свод '!K96+'Свод '!M96+'Свод '!O96+'Свод '!Q96+'Свод '!S96+'Свод '!U96+'Свод '!W96+'Свод '!Y96+'Свод '!AA96+'Свод '!AS96+'Свод '!AU96+'Свод '!AW96+'Свод '!AY96+'Свод '!DE96+'Свод '!EQ96+'Свод '!ES96+'Свод '!EU96+'Свод '!EW96+'Свод '!EY96+'Свод '!FA96+'Свод '!HA96+'Свод '!HC96+U96+W96+AA96+AC96</f>
        <v>211.34308</v>
      </c>
    </row>
    <row r="97" spans="1:41" ht="12.75">
      <c r="A97" s="109" t="s">
        <v>261</v>
      </c>
      <c r="B97" s="104"/>
      <c r="C97" s="42"/>
      <c r="D97" s="40"/>
      <c r="E97" s="40"/>
      <c r="F97" s="43"/>
      <c r="G97" s="46"/>
      <c r="H97" s="40"/>
      <c r="I97" s="40"/>
      <c r="J97" s="110"/>
      <c r="K97" s="42"/>
      <c r="L97" s="40"/>
      <c r="M97" s="40"/>
      <c r="N97" s="40"/>
      <c r="O97" s="40"/>
      <c r="P97" s="40"/>
      <c r="Q97" s="40"/>
      <c r="R97" s="42">
        <f t="shared" si="8"/>
        <v>0</v>
      </c>
      <c r="S97" s="42">
        <f t="shared" si="9"/>
        <v>0</v>
      </c>
      <c r="T97" s="42"/>
      <c r="U97" s="42"/>
      <c r="V97" s="40"/>
      <c r="W97" s="40"/>
      <c r="X97" s="42">
        <f t="shared" si="10"/>
        <v>0</v>
      </c>
      <c r="Y97" s="42">
        <f t="shared" si="11"/>
        <v>0</v>
      </c>
      <c r="Z97" s="42"/>
      <c r="AA97" s="42"/>
      <c r="AB97" s="40"/>
      <c r="AC97" s="40"/>
      <c r="AD97" s="42">
        <f t="shared" si="12"/>
        <v>0</v>
      </c>
      <c r="AE97" s="42">
        <f t="shared" si="13"/>
        <v>0</v>
      </c>
      <c r="AF97" s="42">
        <f>'Свод '!AH97+'Свод '!AZ97+'Свод '!BB97+'Свод '!CF97+'Свод '!DF97+'Свод '!DJ97+'Свод '!DP97+'Свод '!FB97+'Свод '!FH97+'Свод '!HD97+'Свод '!HP97+'Свод '!HX97+Лист1!R97+Лист1!AD97+X97</f>
        <v>1866.1387</v>
      </c>
      <c r="AG97" s="42">
        <f>'Свод '!AI97+'Свод '!BA97+'Свод '!BC97+'Свод '!CG97+'Свод '!DG97+'Свод '!DK97+'Свод '!DQ97+'Свод '!FC97+'Свод '!FI97+'Свод '!HE97+'Свод '!HQ97+'Свод '!HY97+Лист1!S97+Лист1!AE97+Y97</f>
        <v>1866.1387</v>
      </c>
      <c r="AH97" s="42">
        <f>'Свод '!B97+'Свод '!D97+'Свод '!F97+'Свод '!H97</f>
        <v>1442</v>
      </c>
      <c r="AI97" s="42">
        <f>'Свод '!C97+'Свод '!E97+'Свод '!G97+'Свод '!I97</f>
        <v>1442</v>
      </c>
      <c r="AJ97" s="39">
        <f>'Свод '!AB97+'Свод '!AD97+'Свод '!AL97+'Свод '!AN97+'Свод '!AP97+'Свод '!BD97+'Свод '!BF97+'Свод '!BH97+'Свод '!BJ97+'Свод '!BL97+'Свод '!BN97+'Свод '!BP97+'Свод '!BR97+'Свод '!BT97+'Свод '!BV97+'Свод '!BX97+'Свод '!BZ97+'Свод '!CH97+'Свод '!CJ97+'Свод '!CL97+'Свод '!CN97+'Свод '!CP97+'Свод '!CR97+'Свод '!CT97+'Свод '!CV97+'Свод '!CX97+'Свод '!CZ97+'Свод '!DB97+'Свод '!DH97+'Свод '!DN97+'Свод '!DR97+'Свод '!DT97+'Свод '!DV97+'Свод '!DX97+'Свод '!DZ97+'Свод '!EB97+'Свод '!ED97+'Свод '!EF97+'Свод '!EH97+'Свод '!EJ97+'Свод '!EL97+'Свод '!FJ97+'Свод '!FL97+'Свод '!FN97+'Свод '!FP97+'Свод '!FR97+'Свод '!FT97+'Свод '!FV97+'Свод '!FX97+'Свод '!FZ97+'Свод '!GB97+'Свод '!GD97+'Свод '!GF97+'Свод '!GH97+'Свод '!HF97+'Свод '!HH97+'Свод '!HJ97+'Свод '!HL97+'Свод '!HN97+'Свод '!HR97+Лист1!B97+Лист1!D97+Лист1!F97+Лист1!H97+Лист1!J97+Лист1!L97+Лист1!N97+Лист1!P97+'Свод '!DL97</f>
        <v>277</v>
      </c>
      <c r="AK97" s="39">
        <f>'Свод '!AC97+'Свод '!AE97+'Свод '!AM97+'Свод '!AO97+'Свод '!AQ97+'Свод '!BE97+'Свод '!BG97+'Свод '!BI97+'Свод '!BK97+'Свод '!BM97+'Свод '!BO97+'Свод '!BQ97+'Свод '!BS97+'Свод '!BU97+'Свод '!BW97+'Свод '!BY97+'Свод '!CA97+'Свод '!CI97+'Свод '!CK97+'Свод '!CM97+'Свод '!CO97+'Свод '!CQ97+'Свод '!CS97+'Свод '!CU97+'Свод '!CW97+'Свод '!CY97+'Свод '!DA97+'Свод '!DC97+'Свод '!DI97+'Свод '!DO97+'Свод '!DS97+'Свод '!DU97+'Свод '!DW97+'Свод '!DY97+'Свод '!EA97+'Свод '!EC97+'Свод '!EE97+'Свод '!EG97+'Свод '!EI97+'Свод '!EK97+'Свод '!EM97+'Свод '!FK97+'Свод '!FM97+'Свод '!FO97+'Свод '!FQ97+'Свод '!FS97+'Свод '!FU97+'Свод '!FW97+'Свод '!FY97+'Свод '!GA97+'Свод '!GC97+'Свод '!GE97+'Свод '!GG97+'Свод '!GI97+'Свод '!HG97+'Свод '!HI97+'Свод '!HK97+'Свод '!HM97+'Свод '!HO97+'Свод '!HS97+Лист1!C97+Лист1!E97+Лист1!G97+Лист1!I97+Лист1!K97+Лист1!M97+Лист1!O97+Лист1!Q97+'Свод '!DM97</f>
        <v>277</v>
      </c>
      <c r="AL97" s="144">
        <f>'Свод '!AF97+'Свод '!AJ97+'Свод '!BB97+'Свод '!CB97+'Свод '!CD97+'Свод '!EN97+'Свод '!FD97+'Свод '!FF97+'Свод '!GJ97+'Свод '!GL97+'Свод '!GN97+'Свод '!GP97+'Свод '!GR97+'Свод '!GT97+'Свод '!GV97+'Свод '!GX97+'Свод '!HT97+'Свод '!HV97</f>
        <v>147</v>
      </c>
      <c r="AM97" s="42">
        <f>'Свод '!AG97+'Свод '!AK97+'Свод '!BC97+'Свод '!CC97+'Свод '!CE97+'Свод '!EO97+'Свод '!FE97+'Свод '!FG97+'Свод '!GK97+'Свод '!GM97+'Свод '!GO97+'Свод '!GQ97+'Свод '!GS97+'Свод '!GU97+'Свод '!GW97+'Свод '!GY97+'Свод '!HU97+'Свод '!HW97</f>
        <v>147</v>
      </c>
      <c r="AN97" s="42">
        <f>'Свод '!J97+'Свод '!L97+'Свод '!N97+'Свод '!P97+'Свод '!R97+'Свод '!T97+'Свод '!V97+'Свод '!X97+'Свод '!Z97+'Свод '!AR97+'Свод '!AT97+'Свод '!AV97+'Свод '!AX97+'Свод '!DD97+'Свод '!EP97+'Свод '!ER97+'Свод '!ET97+'Свод '!EV97+'Свод '!EX97+'Свод '!EZ97+'Свод '!GZ97+'Свод '!HB97+T97+V97+Z97+AB97</f>
        <v>0.1387</v>
      </c>
      <c r="AO97" s="42">
        <f>'Свод '!K97+'Свод '!M97+'Свод '!O97+'Свод '!Q97+'Свод '!S97+'Свод '!U97+'Свод '!W97+'Свод '!Y97+'Свод '!AA97+'Свод '!AS97+'Свод '!AU97+'Свод '!AW97+'Свод '!AY97+'Свод '!DE97+'Свод '!EQ97+'Свод '!ES97+'Свод '!EU97+'Свод '!EW97+'Свод '!EY97+'Свод '!FA97+'Свод '!HA97+'Свод '!HC97+U97+W97+AA97+AC97</f>
        <v>0.1387</v>
      </c>
    </row>
    <row r="98" spans="1:41" ht="12.75" customHeight="1">
      <c r="A98" s="109" t="s">
        <v>262</v>
      </c>
      <c r="B98" s="104"/>
      <c r="C98" s="42"/>
      <c r="D98" s="40"/>
      <c r="E98" s="40"/>
      <c r="F98" s="43"/>
      <c r="G98" s="46"/>
      <c r="H98" s="40"/>
      <c r="I98" s="40"/>
      <c r="J98" s="110"/>
      <c r="K98" s="42"/>
      <c r="L98" s="40"/>
      <c r="M98" s="40"/>
      <c r="N98" s="40"/>
      <c r="O98" s="40"/>
      <c r="P98" s="40"/>
      <c r="Q98" s="40"/>
      <c r="R98" s="42">
        <f t="shared" si="8"/>
        <v>0</v>
      </c>
      <c r="S98" s="42">
        <f t="shared" si="9"/>
        <v>0</v>
      </c>
      <c r="T98" s="42"/>
      <c r="U98" s="42"/>
      <c r="V98" s="40"/>
      <c r="W98" s="40"/>
      <c r="X98" s="42">
        <f t="shared" si="10"/>
        <v>0</v>
      </c>
      <c r="Y98" s="42">
        <f t="shared" si="11"/>
        <v>0</v>
      </c>
      <c r="Z98" s="42"/>
      <c r="AA98" s="42"/>
      <c r="AB98" s="40"/>
      <c r="AC98" s="40"/>
      <c r="AD98" s="42">
        <f t="shared" si="12"/>
        <v>0</v>
      </c>
      <c r="AE98" s="42">
        <f t="shared" si="13"/>
        <v>0</v>
      </c>
      <c r="AF98" s="42">
        <f>'Свод '!AH98+'Свод '!AZ98+'Свод '!BB98+'Свод '!CF98+'Свод '!DF98+'Свод '!DJ98+'Свод '!DP98+'Свод '!FB98+'Свод '!FH98+'Свод '!HD98+'Свод '!HP98+'Свод '!HX98+Лист1!R98+Лист1!AD98+X98</f>
        <v>4047.12138</v>
      </c>
      <c r="AG98" s="42">
        <f>'Свод '!AI98+'Свод '!BA98+'Свод '!BC98+'Свод '!CG98+'Свод '!DG98+'Свод '!DK98+'Свод '!DQ98+'Свод '!FC98+'Свод '!FI98+'Свод '!HE98+'Свод '!HQ98+'Свод '!HY98+Лист1!S98+Лист1!AE98+Y98</f>
        <v>4036.48003</v>
      </c>
      <c r="AH98" s="42">
        <f>'Свод '!B98+'Свод '!D98+'Свод '!F98+'Свод '!H98</f>
        <v>3140.0000000000005</v>
      </c>
      <c r="AI98" s="42">
        <f>'Свод '!C98+'Свод '!E98+'Свод '!G98+'Свод '!I98</f>
        <v>3140.0000000000005</v>
      </c>
      <c r="AJ98" s="39">
        <f>'Свод '!AB98+'Свод '!AD98+'Свод '!AL98+'Свод '!AN98+'Свод '!AP98+'Свод '!BD98+'Свод '!BF98+'Свод '!BH98+'Свод '!BJ98+'Свод '!BL98+'Свод '!BN98+'Свод '!BP98+'Свод '!BR98+'Свод '!BT98+'Свод '!BV98+'Свод '!BX98+'Свод '!BZ98+'Свод '!CH98+'Свод '!CJ98+'Свод '!CL98+'Свод '!CN98+'Свод '!CP98+'Свод '!CR98+'Свод '!CT98+'Свод '!CV98+'Свод '!CX98+'Свод '!CZ98+'Свод '!DB98+'Свод '!DH98+'Свод '!DN98+'Свод '!DR98+'Свод '!DT98+'Свод '!DV98+'Свод '!DX98+'Свод '!DZ98+'Свод '!EB98+'Свод '!ED98+'Свод '!EF98+'Свод '!EH98+'Свод '!EJ98+'Свод '!EL98+'Свод '!FJ98+'Свод '!FL98+'Свод '!FN98+'Свод '!FP98+'Свод '!FR98+'Свод '!FT98+'Свод '!FV98+'Свод '!FX98+'Свод '!FZ98+'Свод '!GB98+'Свод '!GD98+'Свод '!GF98+'Свод '!GH98+'Свод '!HF98+'Свод '!HH98+'Свод '!HJ98+'Свод '!HL98+'Свод '!HN98+'Свод '!HR98+Лист1!B98+Лист1!D98+Лист1!F98+Лист1!H98+Лист1!J98+Лист1!L98+Лист1!N98+Лист1!P98+'Свод '!DL98</f>
        <v>428.2</v>
      </c>
      <c r="AK98" s="39">
        <f>'Свод '!AC98+'Свод '!AE98+'Свод '!AM98+'Свод '!AO98+'Свод '!AQ98+'Свод '!BE98+'Свод '!BG98+'Свод '!BI98+'Свод '!BK98+'Свод '!BM98+'Свод '!BO98+'Свод '!BQ98+'Свод '!BS98+'Свод '!BU98+'Свод '!BW98+'Свод '!BY98+'Свод '!CA98+'Свод '!CI98+'Свод '!CK98+'Свод '!CM98+'Свод '!CO98+'Свод '!CQ98+'Свод '!CS98+'Свод '!CU98+'Свод '!CW98+'Свод '!CY98+'Свод '!DA98+'Свод '!DC98+'Свод '!DI98+'Свод '!DO98+'Свод '!DS98+'Свод '!DU98+'Свод '!DW98+'Свод '!DY98+'Свод '!EA98+'Свод '!EC98+'Свод '!EE98+'Свод '!EG98+'Свод '!EI98+'Свод '!EK98+'Свод '!EM98+'Свод '!FK98+'Свод '!FM98+'Свод '!FO98+'Свод '!FQ98+'Свод '!FS98+'Свод '!FU98+'Свод '!FW98+'Свод '!FY98+'Свод '!GA98+'Свод '!GC98+'Свод '!GE98+'Свод '!GG98+'Свод '!GI98+'Свод '!HG98+'Свод '!HI98+'Свод '!HK98+'Свод '!HM98+'Свод '!HO98+'Свод '!HS98+Лист1!C98+Лист1!E98+Лист1!G98+Лист1!I98+Лист1!K98+Лист1!M98+Лист1!O98+Лист1!Q98+'Свод '!DM98</f>
        <v>419.9</v>
      </c>
      <c r="AL98" s="144">
        <f>'Свод '!AF98+'Свод '!AJ98+'Свод '!BB98+'Свод '!CB98+'Свод '!CD98+'Свод '!EN98+'Свод '!FD98+'Свод '!FF98+'Свод '!GJ98+'Свод '!GL98+'Свод '!GN98+'Свод '!GP98+'Свод '!GR98+'Свод '!GT98+'Свод '!GV98+'Свод '!GX98+'Свод '!HT98+'Свод '!HV98</f>
        <v>147</v>
      </c>
      <c r="AM98" s="42">
        <f>'Свод '!AG98+'Свод '!AK98+'Свод '!BC98+'Свод '!CC98+'Свод '!CE98+'Свод '!EO98+'Свод '!FE98+'Свод '!FG98+'Свод '!GK98+'Свод '!GM98+'Свод '!GO98+'Свод '!GQ98+'Свод '!GS98+'Свод '!GU98+'Свод '!GW98+'Свод '!GY98+'Свод '!HU98+'Свод '!HW98</f>
        <v>147</v>
      </c>
      <c r="AN98" s="42">
        <f>'Свод '!J98+'Свод '!L98+'Свод '!N98+'Свод '!P98+'Свод '!R98+'Свод '!T98+'Свод '!V98+'Свод '!X98+'Свод '!Z98+'Свод '!AR98+'Свод '!AT98+'Свод '!AV98+'Свод '!AX98+'Свод '!DD98+'Свод '!EP98+'Свод '!ER98+'Свод '!ET98+'Свод '!EV98+'Свод '!EX98+'Свод '!EZ98+'Свод '!GZ98+'Свод '!HB98+T98+V98+Z98+AB98</f>
        <v>331.92138</v>
      </c>
      <c r="AO98" s="42">
        <f>'Свод '!K98+'Свод '!M98+'Свод '!O98+'Свод '!Q98+'Свод '!S98+'Свод '!U98+'Свод '!W98+'Свод '!Y98+'Свод '!AA98+'Свод '!AS98+'Свод '!AU98+'Свод '!AW98+'Свод '!AY98+'Свод '!DE98+'Свод '!EQ98+'Свод '!ES98+'Свод '!EU98+'Свод '!EW98+'Свод '!EY98+'Свод '!FA98+'Свод '!HA98+'Свод '!HC98+U98+W98+AA98+AC98</f>
        <v>329.58003</v>
      </c>
    </row>
    <row r="99" spans="1:41" ht="12.75">
      <c r="A99" s="109" t="s">
        <v>263</v>
      </c>
      <c r="B99" s="104"/>
      <c r="C99" s="42"/>
      <c r="D99" s="40"/>
      <c r="E99" s="40"/>
      <c r="F99" s="43"/>
      <c r="G99" s="46"/>
      <c r="H99" s="40"/>
      <c r="I99" s="40"/>
      <c r="J99" s="110"/>
      <c r="K99" s="42"/>
      <c r="L99" s="40"/>
      <c r="M99" s="40"/>
      <c r="N99" s="40"/>
      <c r="O99" s="40"/>
      <c r="P99" s="40"/>
      <c r="Q99" s="40"/>
      <c r="R99" s="42">
        <f t="shared" si="8"/>
        <v>0</v>
      </c>
      <c r="S99" s="42">
        <f t="shared" si="9"/>
        <v>0</v>
      </c>
      <c r="T99" s="42"/>
      <c r="U99" s="42"/>
      <c r="V99" s="40"/>
      <c r="W99" s="40"/>
      <c r="X99" s="42">
        <f t="shared" si="10"/>
        <v>0</v>
      </c>
      <c r="Y99" s="42">
        <f t="shared" si="11"/>
        <v>0</v>
      </c>
      <c r="Z99" s="42"/>
      <c r="AA99" s="42"/>
      <c r="AB99" s="40"/>
      <c r="AC99" s="40"/>
      <c r="AD99" s="42">
        <f t="shared" si="12"/>
        <v>0</v>
      </c>
      <c r="AE99" s="42">
        <f t="shared" si="13"/>
        <v>0</v>
      </c>
      <c r="AF99" s="42">
        <f>'Свод '!AH99+'Свод '!AZ99+'Свод '!BB99+'Свод '!CF99+'Свод '!DF99+'Свод '!DJ99+'Свод '!DP99+'Свод '!FB99+'Свод '!FH99+'Свод '!HD99+'Свод '!HP99+'Свод '!HX99+Лист1!R99+Лист1!AD99+X99</f>
        <v>3437.6189900000004</v>
      </c>
      <c r="AG99" s="42">
        <f>'Свод '!AI99+'Свод '!BA99+'Свод '!BC99+'Свод '!CG99+'Свод '!DG99+'Свод '!DK99+'Свод '!DQ99+'Свод '!FC99+'Свод '!FI99+'Свод '!HE99+'Свод '!HQ99+'Свод '!HY99+Лист1!S99+Лист1!AE99+Y99</f>
        <v>3393.81399</v>
      </c>
      <c r="AH99" s="42">
        <f>'Свод '!B99+'Свод '!D99+'Свод '!F99+'Свод '!H99</f>
        <v>1955</v>
      </c>
      <c r="AI99" s="42">
        <f>'Свод '!C99+'Свод '!E99+'Свод '!G99+'Свод '!I99</f>
        <v>1955</v>
      </c>
      <c r="AJ99" s="39">
        <f>'Свод '!AB99+'Свод '!AD99+'Свод '!AL99+'Свод '!AN99+'Свод '!AP99+'Свод '!BD99+'Свод '!BF99+'Свод '!BH99+'Свод '!BJ99+'Свод '!BL99+'Свод '!BN99+'Свод '!BP99+'Свод '!BR99+'Свод '!BT99+'Свод '!BV99+'Свод '!BX99+'Свод '!BZ99+'Свод '!CH99+'Свод '!CJ99+'Свод '!CL99+'Свод '!CN99+'Свод '!CP99+'Свод '!CR99+'Свод '!CT99+'Свод '!CV99+'Свод '!CX99+'Свод '!CZ99+'Свод '!DB99+'Свод '!DH99+'Свод '!DN99+'Свод '!DR99+'Свод '!DT99+'Свод '!DV99+'Свод '!DX99+'Свод '!DZ99+'Свод '!EB99+'Свод '!ED99+'Свод '!EF99+'Свод '!EH99+'Свод '!EJ99+'Свод '!EL99+'Свод '!FJ99+'Свод '!FL99+'Свод '!FN99+'Свод '!FP99+'Свод '!FR99+'Свод '!FT99+'Свод '!FV99+'Свод '!FX99+'Свод '!FZ99+'Свод '!GB99+'Свод '!GD99+'Свод '!GF99+'Свод '!GH99+'Свод '!HF99+'Свод '!HH99+'Свод '!HJ99+'Свод '!HL99+'Свод '!HN99+'Свод '!HR99+Лист1!B99+Лист1!D99+Лист1!F99+Лист1!H99+Лист1!J99+Лист1!L99+Лист1!N99+Лист1!P99+'Свод '!DL99</f>
        <v>781.9</v>
      </c>
      <c r="AK99" s="39">
        <f>'Свод '!AC99+'Свод '!AE99+'Свод '!AM99+'Свод '!AO99+'Свод '!AQ99+'Свод '!BE99+'Свод '!BG99+'Свод '!BI99+'Свод '!BK99+'Свод '!BM99+'Свод '!BO99+'Свод '!BQ99+'Свод '!BS99+'Свод '!BU99+'Свод '!BW99+'Свод '!BY99+'Свод '!CA99+'Свод '!CI99+'Свод '!CK99+'Свод '!CM99+'Свод '!CO99+'Свод '!CQ99+'Свод '!CS99+'Свод '!CU99+'Свод '!CW99+'Свод '!CY99+'Свод '!DA99+'Свод '!DC99+'Свод '!DI99+'Свод '!DO99+'Свод '!DS99+'Свод '!DU99+'Свод '!DW99+'Свод '!DY99+'Свод '!EA99+'Свод '!EC99+'Свод '!EE99+'Свод '!EG99+'Свод '!EI99+'Свод '!EK99+'Свод '!EM99+'Свод '!FK99+'Свод '!FM99+'Свод '!FO99+'Свод '!FQ99+'Свод '!FS99+'Свод '!FU99+'Свод '!FW99+'Свод '!FY99+'Свод '!GA99+'Свод '!GC99+'Свод '!GE99+'Свод '!GG99+'Свод '!GI99+'Свод '!HG99+'Свод '!HI99+'Свод '!HK99+'Свод '!HM99+'Свод '!HO99+'Свод '!HS99+Лист1!C99+Лист1!E99+Лист1!G99+Лист1!I99+Лист1!K99+Лист1!M99+Лист1!O99+Лист1!Q99+'Свод '!DM99</f>
        <v>738.095</v>
      </c>
      <c r="AL99" s="144">
        <f>'Свод '!AF99+'Свод '!AJ99+'Свод '!BB99+'Свод '!CB99+'Свод '!CD99+'Свод '!EN99+'Свод '!FD99+'Свод '!FF99+'Свод '!GJ99+'Свод '!GL99+'Свод '!GN99+'Свод '!GP99+'Свод '!GR99+'Свод '!GT99+'Свод '!GV99+'Свод '!GX99+'Свод '!HT99+'Свод '!HV99</f>
        <v>147</v>
      </c>
      <c r="AM99" s="42">
        <f>'Свод '!AG99+'Свод '!AK99+'Свод '!BC99+'Свод '!CC99+'Свод '!CE99+'Свод '!EO99+'Свод '!FE99+'Свод '!FG99+'Свод '!GK99+'Свод '!GM99+'Свод '!GO99+'Свод '!GQ99+'Свод '!GS99+'Свод '!GU99+'Свод '!GW99+'Свод '!GY99+'Свод '!HU99+'Свод '!HW99</f>
        <v>147</v>
      </c>
      <c r="AN99" s="42">
        <f>'Свод '!J99+'Свод '!L99+'Свод '!N99+'Свод '!P99+'Свод '!R99+'Свод '!T99+'Свод '!V99+'Свод '!X99+'Свод '!Z99+'Свод '!AR99+'Свод '!AT99+'Свод '!AV99+'Свод '!AX99+'Свод '!DD99+'Свод '!EP99+'Свод '!ER99+'Свод '!ET99+'Свод '!EV99+'Свод '!EX99+'Свод '!EZ99+'Свод '!GZ99+'Свод '!HB99+T99+V99+Z99+AB99</f>
        <v>553.71899</v>
      </c>
      <c r="AO99" s="42">
        <f>'Свод '!K99+'Свод '!M99+'Свод '!O99+'Свод '!Q99+'Свод '!S99+'Свод '!U99+'Свод '!W99+'Свод '!Y99+'Свод '!AA99+'Свод '!AS99+'Свод '!AU99+'Свод '!AW99+'Свод '!AY99+'Свод '!DE99+'Свод '!EQ99+'Свод '!ES99+'Свод '!EU99+'Свод '!EW99+'Свод '!EY99+'Свод '!FA99+'Свод '!HA99+'Свод '!HC99+U99+W99+AA99+AC99</f>
        <v>553.71899</v>
      </c>
    </row>
    <row r="100" spans="1:41" ht="19.5" customHeight="1">
      <c r="A100" s="108" t="s">
        <v>130</v>
      </c>
      <c r="B100" s="42">
        <v>0</v>
      </c>
      <c r="C100" s="42">
        <v>0</v>
      </c>
      <c r="D100" s="40">
        <f>SUM(D101:D103)</f>
        <v>0</v>
      </c>
      <c r="E100" s="40">
        <f>SUM(E101:E103)</f>
        <v>0</v>
      </c>
      <c r="F100" s="43">
        <v>742</v>
      </c>
      <c r="G100" s="46">
        <v>738.31015</v>
      </c>
      <c r="H100" s="40">
        <f>SUM(H101:H103)</f>
        <v>0</v>
      </c>
      <c r="I100" s="40">
        <f>SUM(I101:I103)</f>
        <v>0</v>
      </c>
      <c r="J100" s="40">
        <f aca="true" t="shared" si="15" ref="J100:AA100">SUM(J101:J103)</f>
        <v>0</v>
      </c>
      <c r="K100" s="40">
        <f t="shared" si="15"/>
        <v>0</v>
      </c>
      <c r="L100" s="40">
        <f t="shared" si="15"/>
        <v>0</v>
      </c>
      <c r="M100" s="40">
        <f t="shared" si="15"/>
        <v>0</v>
      </c>
      <c r="N100" s="40">
        <f t="shared" si="15"/>
        <v>0</v>
      </c>
      <c r="O100" s="40">
        <f t="shared" si="15"/>
        <v>0</v>
      </c>
      <c r="P100" s="40">
        <f t="shared" si="15"/>
        <v>0</v>
      </c>
      <c r="Q100" s="40">
        <f t="shared" si="15"/>
        <v>0</v>
      </c>
      <c r="R100" s="40">
        <f t="shared" si="15"/>
        <v>742</v>
      </c>
      <c r="S100" s="40">
        <f t="shared" si="15"/>
        <v>738.31015</v>
      </c>
      <c r="T100" s="40">
        <f t="shared" si="15"/>
        <v>123.5</v>
      </c>
      <c r="U100" s="40">
        <f t="shared" si="15"/>
        <v>123.5</v>
      </c>
      <c r="V100" s="40">
        <f t="shared" si="15"/>
        <v>6.5</v>
      </c>
      <c r="W100" s="40">
        <f t="shared" si="15"/>
        <v>6.5</v>
      </c>
      <c r="X100" s="40">
        <f t="shared" si="15"/>
        <v>130</v>
      </c>
      <c r="Y100" s="40">
        <f t="shared" si="15"/>
        <v>130</v>
      </c>
      <c r="Z100" s="40">
        <f t="shared" si="15"/>
        <v>0</v>
      </c>
      <c r="AA100" s="40">
        <f t="shared" si="15"/>
        <v>0</v>
      </c>
      <c r="AB100" s="40">
        <v>0</v>
      </c>
      <c r="AC100" s="40">
        <v>0</v>
      </c>
      <c r="AD100" s="42">
        <f t="shared" si="12"/>
        <v>0</v>
      </c>
      <c r="AE100" s="42">
        <f t="shared" si="13"/>
        <v>0</v>
      </c>
      <c r="AF100" s="42">
        <f>'Свод '!AH100+'Свод '!AZ100+'Свод '!BB100+'Свод '!CF100+'Свод '!DF100+'Свод '!DJ100+'Свод '!DP100+'Свод '!FB100+'Свод '!FH100+'Свод '!HD100+'Свод '!HP100+'Свод '!HX100+Лист1!R100+Лист1!AD100+X100</f>
        <v>268830.22</v>
      </c>
      <c r="AG100" s="42">
        <f>'Свод '!AI100+'Свод '!BA100+'Свод '!BC100+'Свод '!CG100+'Свод '!DG100+'Свод '!DK100+'Свод '!DQ100+'Свод '!FC100+'Свод '!FI100+'Свод '!HE100+'Свод '!HQ100+'Свод '!HY100+Лист1!S100+Лист1!AE100+Y100</f>
        <v>249631.67081</v>
      </c>
      <c r="AH100" s="42">
        <f>'Свод '!B100+'Свод '!D100+'Свод '!F100+'Свод '!H100</f>
        <v>92639</v>
      </c>
      <c r="AI100" s="42">
        <f>'Свод '!C100+'Свод '!E100+'Свод '!G100+'Свод '!I100</f>
        <v>92639</v>
      </c>
      <c r="AJ100" s="39">
        <f>'Свод '!AB100+'Свод '!AD100+'Свод '!AL100+'Свод '!AN100+'Свод '!AP100+'Свод '!BD100+'Свод '!BF100+'Свод '!BH100+'Свод '!BJ100+'Свод '!BL100+'Свод '!BN100+'Свод '!BP100+'Свод '!BR100+'Свод '!BT100+'Свод '!BV100+'Свод '!BX100+'Свод '!BZ100+'Свод '!CH100+'Свод '!CJ100+'Свод '!CL100+'Свод '!CN100+'Свод '!CP100+'Свод '!CR100+'Свод '!CT100+'Свод '!CV100+'Свод '!CX100+'Свод '!CZ100+'Свод '!DB100+'Свод '!DH100+'Свод '!DN100+'Свод '!DR100+'Свод '!DT100+'Свод '!DV100+'Свод '!DX100+'Свод '!DZ100+'Свод '!EB100+'Свод '!ED100+'Свод '!EF100+'Свод '!EH100+'Свод '!EJ100+'Свод '!EL100+'Свод '!FJ100+'Свод '!FL100+'Свод '!FN100+'Свод '!FP100+'Свод '!FR100+'Свод '!FT100+'Свод '!FV100+'Свод '!FX100+'Свод '!FZ100+'Свод '!GB100+'Свод '!GD100+'Свод '!GF100+'Свод '!GH100+'Свод '!HF100+'Свод '!HH100+'Свод '!HJ100+'Свод '!HL100+'Свод '!HN100+'Свод '!HR100+Лист1!B100+Лист1!D100+Лист1!F100+Лист1!H100+Лист1!J100+Лист1!L100+Лист1!N100+Лист1!P100+'Свод '!DL100</f>
        <v>58035.76</v>
      </c>
      <c r="AK100" s="39">
        <f>'Свод '!AC100+'Свод '!AE100+'Свод '!AM100+'Свод '!AO100+'Свод '!AQ100+'Свод '!BE100+'Свод '!BG100+'Свод '!BI100+'Свод '!BK100+'Свод '!BM100+'Свод '!BO100+'Свод '!BQ100+'Свод '!BS100+'Свод '!BU100+'Свод '!BW100+'Свод '!BY100+'Свод '!CA100+'Свод '!CI100+'Свод '!CK100+'Свод '!CM100+'Свод '!CO100+'Свод '!CQ100+'Свод '!CS100+'Свод '!CU100+'Свод '!CW100+'Свод '!CY100+'Свод '!DA100+'Свод '!DC100+'Свод '!DI100+'Свод '!DO100+'Свод '!DS100+'Свод '!DU100+'Свод '!DW100+'Свод '!DY100+'Свод '!EA100+'Свод '!EC100+'Свод '!EE100+'Свод '!EG100+'Свод '!EI100+'Свод '!EK100+'Свод '!EM100+'Свод '!FK100+'Свод '!FM100+'Свод '!FO100+'Свод '!FQ100+'Свод '!FS100+'Свод '!FU100+'Свод '!FW100+'Свод '!FY100+'Свод '!GA100+'Свод '!GC100+'Свод '!GE100+'Свод '!GG100+'Свод '!GI100+'Свод '!HG100+'Свод '!HI100+'Свод '!HK100+'Свод '!HM100+'Свод '!HO100+'Свод '!HS100+Лист1!C100+Лист1!E100+Лист1!G100+Лист1!I100+Лист1!K100+Лист1!M100+Лист1!O100+Лист1!Q100+'Свод '!DM100</f>
        <v>38871.67015</v>
      </c>
      <c r="AL100" s="144">
        <f>'Свод '!AF100+'Свод '!AJ100+'Свод '!BB100+'Свод '!CB100+'Свод '!CD100+'Свод '!EN100+'Свод '!FD100+'Свод '!FF100+'Свод '!GJ100+'Свод '!GL100+'Свод '!GN100+'Свод '!GP100+'Свод '!GR100+'Свод '!GT100+'Свод '!GV100+'Свод '!GX100+'Свод '!HT100+'Свод '!HV100</f>
        <v>101061.01</v>
      </c>
      <c r="AM100" s="42">
        <f>'Свод '!AG100+'Свод '!AK100+'Свод '!BC100+'Свод '!CC100+'Свод '!CE100+'Свод '!EO100+'Свод '!FE100+'Свод '!FG100+'Свод '!GK100+'Свод '!GM100+'Свод '!GO100+'Свод '!GQ100+'Свод '!GS100+'Свод '!GU100+'Свод '!GW100+'Свод '!GY100+'Свод '!HU100+'Свод '!HW100</f>
        <v>101028.61</v>
      </c>
      <c r="AN100" s="42">
        <f>'Свод '!J100+'Свод '!L100+'Свод '!N100+'Свод '!P100+'Свод '!R100+'Свод '!T100+'Свод '!V100+'Свод '!X100+'Свод '!Z100+'Свод '!AR100+'Свод '!AT100+'Свод '!AV100+'Свод '!AX100+'Свод '!DD100+'Свод '!EP100+'Свод '!ER100+'Свод '!ET100+'Свод '!EV100+'Свод '!EX100+'Свод '!EZ100+'Свод '!GZ100+'Свод '!HB100+T100+V100+Z100+AB100</f>
        <v>17094.449999999997</v>
      </c>
      <c r="AO100" s="42">
        <f>'Свод '!K100+'Свод '!M100+'Свод '!O100+'Свод '!Q100+'Свод '!S100+'Свод '!U100+'Свод '!W100+'Свод '!Y100+'Свод '!AA100+'Свод '!AS100+'Свод '!AU100+'Свод '!AW100+'Свод '!AY100+'Свод '!DE100+'Свод '!EQ100+'Свод '!ES100+'Свод '!EU100+'Свод '!EW100+'Свод '!EY100+'Свод '!FA100+'Свод '!HA100+'Свод '!HC100+U100+W100+AA100+AC100</f>
        <v>17092.390659999997</v>
      </c>
    </row>
    <row r="101" spans="1:41" ht="12.75">
      <c r="A101" s="103" t="s">
        <v>156</v>
      </c>
      <c r="B101" s="104"/>
      <c r="C101" s="42"/>
      <c r="D101" s="40"/>
      <c r="E101" s="40"/>
      <c r="F101" s="43">
        <v>742</v>
      </c>
      <c r="G101" s="42">
        <v>738.31015</v>
      </c>
      <c r="H101" s="40"/>
      <c r="I101" s="40"/>
      <c r="J101" s="105"/>
      <c r="K101" s="42"/>
      <c r="L101" s="40"/>
      <c r="M101" s="40"/>
      <c r="N101" s="40"/>
      <c r="O101" s="40"/>
      <c r="P101" s="40"/>
      <c r="Q101" s="40"/>
      <c r="R101" s="42">
        <f t="shared" si="8"/>
        <v>742</v>
      </c>
      <c r="S101" s="42">
        <f t="shared" si="9"/>
        <v>738.31015</v>
      </c>
      <c r="T101" s="42">
        <v>123.5</v>
      </c>
      <c r="U101" s="42">
        <v>123.5</v>
      </c>
      <c r="V101" s="40">
        <v>6.5</v>
      </c>
      <c r="W101" s="40">
        <v>6.5</v>
      </c>
      <c r="X101" s="42">
        <f t="shared" si="10"/>
        <v>130</v>
      </c>
      <c r="Y101" s="42">
        <f t="shared" si="11"/>
        <v>130</v>
      </c>
      <c r="Z101" s="42"/>
      <c r="AA101" s="42"/>
      <c r="AB101" s="40"/>
      <c r="AC101" s="40"/>
      <c r="AD101" s="42">
        <f t="shared" si="12"/>
        <v>0</v>
      </c>
      <c r="AE101" s="42">
        <f t="shared" si="13"/>
        <v>0</v>
      </c>
      <c r="AF101" s="42">
        <f>'Свод '!AH101+'Свод '!AZ101+'Свод '!BB101+'Свод '!CF101+'Свод '!DF101+'Свод '!DJ101+'Свод '!DP101+'Свод '!FB101+'Свод '!FH101+'Свод '!HD101+'Свод '!HP101+'Свод '!HX101+Лист1!R101+Лист1!AD101+X101</f>
        <v>248126.61</v>
      </c>
      <c r="AG101" s="42">
        <f>'Свод '!AI101+'Свод '!BA101+'Свод '!BC101+'Свод '!CG101+'Свод '!DG101+'Свод '!DK101+'Свод '!DQ101+'Свод '!FC101+'Свод '!FI101+'Свод '!HE101+'Свод '!HQ101+'Свод '!HY101+Лист1!S101+Лист1!AE101+Y101</f>
        <v>229063.52015</v>
      </c>
      <c r="AH101" s="42">
        <f>'Свод '!B101+'Свод '!D101+'Свод '!F101+'Свод '!H101</f>
        <v>82525</v>
      </c>
      <c r="AI101" s="42">
        <f>'Свод '!C101+'Свод '!E101+'Свод '!G101+'Свод '!I101</f>
        <v>82525</v>
      </c>
      <c r="AJ101" s="39">
        <f>'Свод '!AB101+'Свод '!AD101+'Свод '!AL101+'Свод '!AN101+'Свод '!AP101+'Свод '!BD101+'Свод '!BF101+'Свод '!BH101+'Свод '!BJ101+'Свод '!BL101+'Свод '!BN101+'Свод '!BP101+'Свод '!BR101+'Свод '!BT101+'Свод '!BV101+'Свод '!BX101+'Свод '!BZ101+'Свод '!CH101+'Свод '!CJ101+'Свод '!CL101+'Свод '!CN101+'Свод '!CP101+'Свод '!CR101+'Свод '!CT101+'Свод '!CV101+'Свод '!CX101+'Свод '!CZ101+'Свод '!DB101+'Свод '!DH101+'Свод '!DN101+'Свод '!DR101+'Свод '!DT101+'Свод '!DV101+'Свод '!DX101+'Свод '!DZ101+'Свод '!EB101+'Свод '!ED101+'Свод '!EF101+'Свод '!EH101+'Свод '!EJ101+'Свод '!EL101+'Свод '!FJ101+'Свод '!FL101+'Свод '!FN101+'Свод '!FP101+'Свод '!FR101+'Свод '!FT101+'Свод '!FV101+'Свод '!FX101+'Свод '!FZ101+'Свод '!GB101+'Свод '!GD101+'Свод '!GF101+'Свод '!GH101+'Свод '!HF101+'Свод '!HH101+'Свод '!HJ101+'Свод '!HL101+'Свод '!HN101+'Свод '!HR101+Лист1!B101+Лист1!D101+Лист1!F101+Лист1!H101+Лист1!J101+Лист1!L101+Лист1!N101+Лист1!P101+'Свод '!DL101</f>
        <v>50178.3</v>
      </c>
      <c r="AK101" s="39">
        <f>'Свод '!AC101+'Свод '!AE101+'Свод '!AM101+'Свод '!AO101+'Свод '!AQ101+'Свод '!BE101+'Свод '!BG101+'Свод '!BI101+'Свод '!BK101+'Свод '!BM101+'Свод '!BO101+'Свод '!BQ101+'Свод '!BS101+'Свод '!BU101+'Свод '!BW101+'Свод '!BY101+'Свод '!CA101+'Свод '!CI101+'Свод '!CK101+'Свод '!CM101+'Свод '!CO101+'Свод '!CQ101+'Свод '!CS101+'Свод '!CU101+'Свод '!CW101+'Свод '!CY101+'Свод '!DA101+'Свод '!DC101+'Свод '!DI101+'Свод '!DO101+'Свод '!DS101+'Свод '!DU101+'Свод '!DW101+'Свод '!DY101+'Свод '!EA101+'Свод '!EC101+'Свод '!EE101+'Свод '!EG101+'Свод '!EI101+'Свод '!EK101+'Свод '!EM101+'Свод '!FK101+'Свод '!FM101+'Свод '!FO101+'Свод '!FQ101+'Свод '!FS101+'Свод '!FU101+'Свод '!FW101+'Свод '!FY101+'Свод '!GA101+'Свод '!GC101+'Свод '!GE101+'Свод '!GG101+'Свод '!GI101+'Свод '!HG101+'Свод '!HI101+'Свод '!HK101+'Свод '!HM101+'Свод '!HO101+'Свод '!HS101+Лист1!C101+Лист1!E101+Лист1!G101+Лист1!I101+Лист1!K101+Лист1!M101+Лист1!O101+Лист1!Q101+'Свод '!DM101</f>
        <v>31147.610150000004</v>
      </c>
      <c r="AL101" s="144">
        <f>'Свод '!AF101+'Свод '!AJ101+'Свод '!BB101+'Свод '!CB101+'Свод '!CD101+'Свод '!EN101+'Свод '!FD101+'Свод '!FF101+'Свод '!GJ101+'Свод '!GL101+'Свод '!GN101+'Свод '!GP101+'Свод '!GR101+'Свод '!GT101+'Свод '!GV101+'Свод '!GX101+'Свод '!HT101+'Свод '!HV101</f>
        <v>100624.01</v>
      </c>
      <c r="AM101" s="42">
        <f>'Свод '!AG101+'Свод '!AK101+'Свод '!BC101+'Свод '!CC101+'Свод '!CE101+'Свод '!EO101+'Свод '!FE101+'Свод '!FG101+'Свод '!GK101+'Свод '!GM101+'Свод '!GO101+'Свод '!GQ101+'Свод '!GS101+'Свод '!GU101+'Свод '!GW101+'Свод '!GY101+'Свод '!HU101+'Свод '!HW101</f>
        <v>100591.61</v>
      </c>
      <c r="AN101" s="42">
        <f>'Свод '!J101+'Свод '!L101+'Свод '!N101+'Свод '!P101+'Свод '!R101+'Свод '!T101+'Свод '!V101+'Свод '!X101+'Свод '!Z101+'Свод '!AR101+'Свод '!AT101+'Свод '!AV101+'Свод '!AX101+'Свод '!DD101+'Свод '!EP101+'Свод '!ER101+'Свод '!ET101+'Свод '!EV101+'Свод '!EX101+'Свод '!EZ101+'Свод '!GZ101+'Свод '!HB101+T101+V101+Z101+AB101</f>
        <v>14799.3</v>
      </c>
      <c r="AO101" s="42">
        <f>'Свод '!K101+'Свод '!M101+'Свод '!O101+'Свод '!Q101+'Свод '!S101+'Свод '!U101+'Свод '!W101+'Свод '!Y101+'Свод '!AA101+'Свод '!AS101+'Свод '!AU101+'Свод '!AW101+'Свод '!AY101+'Свод '!DE101+'Свод '!EQ101+'Свод '!ES101+'Свод '!EU101+'Свод '!EW101+'Свод '!EY101+'Свод '!FA101+'Свод '!HA101+'Свод '!HC101+U101+W101+AA101+AC101</f>
        <v>14799.3</v>
      </c>
    </row>
    <row r="102" spans="1:41" ht="12.75" customHeight="1">
      <c r="A102" s="103" t="s">
        <v>264</v>
      </c>
      <c r="B102" s="104"/>
      <c r="C102" s="42"/>
      <c r="D102" s="40"/>
      <c r="E102" s="40"/>
      <c r="F102" s="43"/>
      <c r="G102" s="46"/>
      <c r="H102" s="40"/>
      <c r="I102" s="40"/>
      <c r="J102" s="105"/>
      <c r="K102" s="42"/>
      <c r="L102" s="40"/>
      <c r="M102" s="40"/>
      <c r="N102" s="40"/>
      <c r="O102" s="40"/>
      <c r="P102" s="40"/>
      <c r="Q102" s="40"/>
      <c r="R102" s="42">
        <f t="shared" si="8"/>
        <v>0</v>
      </c>
      <c r="S102" s="42">
        <f t="shared" si="9"/>
        <v>0</v>
      </c>
      <c r="T102" s="42"/>
      <c r="U102" s="42"/>
      <c r="V102" s="40"/>
      <c r="W102" s="40"/>
      <c r="X102" s="42">
        <f t="shared" si="10"/>
        <v>0</v>
      </c>
      <c r="Y102" s="42">
        <f t="shared" si="11"/>
        <v>0</v>
      </c>
      <c r="Z102" s="42"/>
      <c r="AA102" s="42"/>
      <c r="AB102" s="40"/>
      <c r="AC102" s="40"/>
      <c r="AD102" s="42">
        <f t="shared" si="12"/>
        <v>0</v>
      </c>
      <c r="AE102" s="42">
        <f t="shared" si="13"/>
        <v>0</v>
      </c>
      <c r="AF102" s="42">
        <f>'Свод '!AH102+'Свод '!AZ102+'Свод '!BB102+'Свод '!CF102+'Свод '!DF102+'Свод '!DJ102+'Свод '!DP102+'Свод '!FB102+'Свод '!FH102+'Свод '!HD102+'Свод '!HP102+'Свод '!HX102+Лист1!R102+Лист1!AD102+X102</f>
        <v>8519.66</v>
      </c>
      <c r="AG102" s="42">
        <f>'Свод '!AI102+'Свод '!BA102+'Свод '!BC102+'Свод '!CG102+'Свод '!DG102+'Свод '!DK102+'Свод '!DQ102+'Свод '!FC102+'Свод '!FI102+'Свод '!HE102+'Свод '!HQ102+'Свод '!HY102+Лист1!S102+Лист1!AE102+Y102</f>
        <v>8458.26</v>
      </c>
      <c r="AH102" s="42">
        <f>'Свод '!B102+'Свод '!D102+'Свод '!F102+'Свод '!H102</f>
        <v>5651</v>
      </c>
      <c r="AI102" s="42">
        <f>'Свод '!C102+'Свод '!E102+'Свод '!G102+'Свод '!I102</f>
        <v>5651</v>
      </c>
      <c r="AJ102" s="39">
        <f>'Свод '!AB102+'Свод '!AD102+'Свод '!AL102+'Свод '!AN102+'Свод '!AP102+'Свод '!BD102+'Свод '!BF102+'Свод '!BH102+'Свод '!BJ102+'Свод '!BL102+'Свод '!BN102+'Свод '!BP102+'Свод '!BR102+'Свод '!BT102+'Свод '!BV102+'Свод '!BX102+'Свод '!BZ102+'Свод '!CH102+'Свод '!CJ102+'Свод '!CL102+'Свод '!CN102+'Свод '!CP102+'Свод '!CR102+'Свод '!CT102+'Свод '!CV102+'Свод '!CX102+'Свод '!CZ102+'Свод '!DB102+'Свод '!DH102+'Свод '!DN102+'Свод '!DR102+'Свод '!DT102+'Свод '!DV102+'Свод '!DX102+'Свод '!DZ102+'Свод '!EB102+'Свод '!ED102+'Свод '!EF102+'Свод '!EH102+'Свод '!EJ102+'Свод '!EL102+'Свод '!FJ102+'Свод '!FL102+'Свод '!FN102+'Свод '!FP102+'Свод '!FR102+'Свод '!FT102+'Свод '!FV102+'Свод '!FX102+'Свод '!FZ102+'Свод '!GB102+'Свод '!GD102+'Свод '!GF102+'Свод '!GH102+'Свод '!HF102+'Свод '!HH102+'Свод '!HJ102+'Свод '!HL102+'Свод '!HN102+'Свод '!HR102+Лист1!B102+Лист1!D102+Лист1!F102+Лист1!H102+Лист1!J102+Лист1!L102+Лист1!N102+Лист1!P102+'Свод '!DL102</f>
        <v>2721.66</v>
      </c>
      <c r="AK102" s="39">
        <f>'Свод '!AC102+'Свод '!AE102+'Свод '!AM102+'Свод '!AO102+'Свод '!AQ102+'Свод '!BE102+'Свод '!BG102+'Свод '!BI102+'Свод '!BK102+'Свод '!BM102+'Свод '!BO102+'Свод '!BQ102+'Свод '!BS102+'Свод '!BU102+'Свод '!BW102+'Свод '!BY102+'Свод '!CA102+'Свод '!CI102+'Свод '!CK102+'Свод '!CM102+'Свод '!CO102+'Свод '!CQ102+'Свод '!CS102+'Свод '!CU102+'Свод '!CW102+'Свод '!CY102+'Свод '!DA102+'Свод '!DC102+'Свод '!DI102+'Свод '!DO102+'Свод '!DS102+'Свод '!DU102+'Свод '!DW102+'Свод '!DY102+'Свод '!EA102+'Свод '!EC102+'Свод '!EE102+'Свод '!EG102+'Свод '!EI102+'Свод '!EK102+'Свод '!EM102+'Свод '!FK102+'Свод '!FM102+'Свод '!FO102+'Свод '!FQ102+'Свод '!FS102+'Свод '!FU102+'Свод '!FW102+'Свод '!FY102+'Свод '!GA102+'Свод '!GC102+'Свод '!GE102+'Свод '!GG102+'Свод '!GI102+'Свод '!HG102+'Свод '!HI102+'Свод '!HK102+'Свод '!HM102+'Свод '!HO102+'Свод '!HS102+Лист1!C102+Лист1!E102+Лист1!G102+Лист1!I102+Лист1!K102+Лист1!M102+Лист1!O102+Лист1!Q102+'Свод '!DM102</f>
        <v>2660.2599999999998</v>
      </c>
      <c r="AL102" s="144">
        <f>'Свод '!AF102+'Свод '!AJ102+'Свод '!BB102+'Свод '!CB102+'Свод '!CD102+'Свод '!EN102+'Свод '!FD102+'Свод '!FF102+'Свод '!GJ102+'Свод '!GL102+'Свод '!GN102+'Свод '!GP102+'Свод '!GR102+'Свод '!GT102+'Свод '!GV102+'Свод '!GX102+'Свод '!HT102+'Свод '!HV102</f>
        <v>147</v>
      </c>
      <c r="AM102" s="42">
        <f>'Свод '!AG102+'Свод '!AK102+'Свод '!BC102+'Свод '!CC102+'Свод '!CE102+'Свод '!EO102+'Свод '!FE102+'Свод '!FG102+'Свод '!GK102+'Свод '!GM102+'Свод '!GO102+'Свод '!GQ102+'Свод '!GS102+'Свод '!GU102+'Свод '!GW102+'Свод '!GY102+'Свод '!HU102+'Свод '!HW102</f>
        <v>146.99999999999997</v>
      </c>
      <c r="AN102" s="42">
        <f>'Свод '!J102+'Свод '!L102+'Свод '!N102+'Свод '!P102+'Свод '!R102+'Свод '!T102+'Свод '!V102+'Свод '!X102+'Свод '!Z102+'Свод '!AR102+'Свод '!AT102+'Свод '!AV102+'Свод '!AX102+'Свод '!DD102+'Свод '!EP102+'Свод '!ER102+'Свод '!ET102+'Свод '!EV102+'Свод '!EX102+'Свод '!EZ102+'Свод '!GZ102+'Свод '!HB102+T102+V102+Z102+AB102</f>
        <v>0</v>
      </c>
      <c r="AO102" s="42">
        <f>'Свод '!K102+'Свод '!M102+'Свод '!O102+'Свод '!Q102+'Свод '!S102+'Свод '!U102+'Свод '!W102+'Свод '!Y102+'Свод '!AA102+'Свод '!AS102+'Свод '!AU102+'Свод '!AW102+'Свод '!AY102+'Свод '!DE102+'Свод '!EQ102+'Свод '!ES102+'Свод '!EU102+'Свод '!EW102+'Свод '!EY102+'Свод '!FA102+'Свод '!HA102+'Свод '!HC102+U102+W102+AA102+AC102</f>
        <v>0</v>
      </c>
    </row>
    <row r="103" spans="1:41" ht="12.75">
      <c r="A103" s="103" t="s">
        <v>265</v>
      </c>
      <c r="B103" s="104"/>
      <c r="C103" s="42"/>
      <c r="D103" s="40"/>
      <c r="E103" s="40"/>
      <c r="F103" s="43"/>
      <c r="G103" s="46"/>
      <c r="H103" s="40"/>
      <c r="I103" s="40"/>
      <c r="J103" s="105"/>
      <c r="K103" s="42"/>
      <c r="L103" s="40"/>
      <c r="M103" s="40"/>
      <c r="N103" s="40"/>
      <c r="O103" s="40"/>
      <c r="P103" s="40"/>
      <c r="Q103" s="40"/>
      <c r="R103" s="42">
        <f t="shared" si="8"/>
        <v>0</v>
      </c>
      <c r="S103" s="42">
        <f t="shared" si="9"/>
        <v>0</v>
      </c>
      <c r="T103" s="42"/>
      <c r="U103" s="42"/>
      <c r="V103" s="40"/>
      <c r="W103" s="40"/>
      <c r="X103" s="42">
        <f t="shared" si="10"/>
        <v>0</v>
      </c>
      <c r="Y103" s="42">
        <f t="shared" si="11"/>
        <v>0</v>
      </c>
      <c r="Z103" s="42"/>
      <c r="AA103" s="42"/>
      <c r="AB103" s="40"/>
      <c r="AC103" s="40"/>
      <c r="AD103" s="42">
        <f t="shared" si="12"/>
        <v>0</v>
      </c>
      <c r="AE103" s="42">
        <f t="shared" si="13"/>
        <v>0</v>
      </c>
      <c r="AF103" s="42">
        <f>'Свод '!AH103+'Свод '!AZ103+'Свод '!BB103+'Свод '!CF103+'Свод '!DF103+'Свод '!DJ103+'Свод '!DP103+'Свод '!FB103+'Свод '!FH103+'Свод '!HD103+'Свод '!HP103+'Свод '!HX103+Лист1!R103+Лист1!AD103+X103</f>
        <v>12183.95</v>
      </c>
      <c r="AG103" s="42">
        <f>'Свод '!AI103+'Свод '!BA103+'Свод '!BC103+'Свод '!CG103+'Свод '!DG103+'Свод '!DK103+'Свод '!DQ103+'Свод '!FC103+'Свод '!FI103+'Свод '!HE103+'Свод '!HQ103+'Свод '!HY103+Лист1!S103+Лист1!AE103+Y103</f>
        <v>12109.890660000001</v>
      </c>
      <c r="AH103" s="42">
        <f>'Свод '!B103+'Свод '!D103+'Свод '!F103+'Свод '!H103</f>
        <v>4463</v>
      </c>
      <c r="AI103" s="42">
        <f>'Свод '!C103+'Свод '!E103+'Свод '!G103+'Свод '!I103</f>
        <v>4463</v>
      </c>
      <c r="AJ103" s="39">
        <f>'Свод '!AB103+'Свод '!AD103+'Свод '!AL103+'Свод '!AN103+'Свод '!AP103+'Свод '!BD103+'Свод '!BF103+'Свод '!BH103+'Свод '!BJ103+'Свод '!BL103+'Свод '!BN103+'Свод '!BP103+'Свод '!BR103+'Свод '!BT103+'Свод '!BV103+'Свод '!BX103+'Свод '!BZ103+'Свод '!CH103+'Свод '!CJ103+'Свод '!CL103+'Свод '!CN103+'Свод '!CP103+'Свод '!CR103+'Свод '!CT103+'Свод '!CV103+'Свод '!CX103+'Свод '!CZ103+'Свод '!DB103+'Свод '!DH103+'Свод '!DN103+'Свод '!DR103+'Свод '!DT103+'Свод '!DV103+'Свод '!DX103+'Свод '!DZ103+'Свод '!EB103+'Свод '!ED103+'Свод '!EF103+'Свод '!EH103+'Свод '!EJ103+'Свод '!EL103+'Свод '!FJ103+'Свод '!FL103+'Свод '!FN103+'Свод '!FP103+'Свод '!FR103+'Свод '!FT103+'Свод '!FV103+'Свод '!FX103+'Свод '!FZ103+'Свод '!GB103+'Свод '!GD103+'Свод '!GF103+'Свод '!GH103+'Свод '!HF103+'Свод '!HH103+'Свод '!HJ103+'Свод '!HL103+'Свод '!HN103+'Свод '!HR103+Лист1!B103+Лист1!D103+Лист1!F103+Лист1!H103+Лист1!J103+Лист1!L103+Лист1!N103+Лист1!P103+'Свод '!DL103</f>
        <v>5135.8</v>
      </c>
      <c r="AK103" s="39">
        <f>'Свод '!AC103+'Свод '!AE103+'Свод '!AM103+'Свод '!AO103+'Свод '!AQ103+'Свод '!BE103+'Свод '!BG103+'Свод '!BI103+'Свод '!BK103+'Свод '!BM103+'Свод '!BO103+'Свод '!BQ103+'Свод '!BS103+'Свод '!BU103+'Свод '!BW103+'Свод '!BY103+'Свод '!CA103+'Свод '!CI103+'Свод '!CK103+'Свод '!CM103+'Свод '!CO103+'Свод '!CQ103+'Свод '!CS103+'Свод '!CU103+'Свод '!CW103+'Свод '!CY103+'Свод '!DA103+'Свод '!DC103+'Свод '!DI103+'Свод '!DO103+'Свод '!DS103+'Свод '!DU103+'Свод '!DW103+'Свод '!DY103+'Свод '!EA103+'Свод '!EC103+'Свод '!EE103+'Свод '!EG103+'Свод '!EI103+'Свод '!EK103+'Свод '!EM103+'Свод '!FK103+'Свод '!FM103+'Свод '!FO103+'Свод '!FQ103+'Свод '!FS103+'Свод '!FU103+'Свод '!FW103+'Свод '!FY103+'Свод '!GA103+'Свод '!GC103+'Свод '!GE103+'Свод '!GG103+'Свод '!GI103+'Свод '!HG103+'Свод '!HI103+'Свод '!HK103+'Свод '!HM103+'Свод '!HO103+'Свод '!HS103+Лист1!C103+Лист1!E103+Лист1!G103+Лист1!I103+Лист1!K103+Лист1!M103+Лист1!O103+Лист1!Q103+'Свод '!DM103</f>
        <v>5063.8</v>
      </c>
      <c r="AL103" s="144">
        <f>'Свод '!AF103+'Свод '!AJ103+'Свод '!BB103+'Свод '!CB103+'Свод '!CD103+'Свод '!EN103+'Свод '!FD103+'Свод '!FF103+'Свод '!GJ103+'Свод '!GL103+'Свод '!GN103+'Свод '!GP103+'Свод '!GR103+'Свод '!GT103+'Свод '!GV103+'Свод '!GX103+'Свод '!HT103+'Свод '!HV103</f>
        <v>290</v>
      </c>
      <c r="AM103" s="42">
        <f>'Свод '!AG103+'Свод '!AK103+'Свод '!BC103+'Свод '!CC103+'Свод '!CE103+'Свод '!EO103+'Свод '!FE103+'Свод '!FG103+'Свод '!GK103+'Свод '!GM103+'Свод '!GO103+'Свод '!GQ103+'Свод '!GS103+'Свод '!GU103+'Свод '!GW103+'Свод '!GY103+'Свод '!HU103+'Свод '!HW103</f>
        <v>290</v>
      </c>
      <c r="AN103" s="42">
        <f>'Свод '!J103+'Свод '!L103+'Свод '!N103+'Свод '!P103+'Свод '!R103+'Свод '!T103+'Свод '!V103+'Свод '!X103+'Свод '!Z103+'Свод '!AR103+'Свод '!AT103+'Свод '!AV103+'Свод '!AX103+'Свод '!DD103+'Свод '!EP103+'Свод '!ER103+'Свод '!ET103+'Свод '!EV103+'Свод '!EX103+'Свод '!EZ103+'Свод '!GZ103+'Свод '!HB103+T103+V103+Z103+AB103</f>
        <v>2295.15</v>
      </c>
      <c r="AO103" s="42">
        <f>'Свод '!K103+'Свод '!M103+'Свод '!O103+'Свод '!Q103+'Свод '!S103+'Свод '!U103+'Свод '!W103+'Свод '!Y103+'Свод '!AA103+'Свод '!AS103+'Свод '!AU103+'Свод '!AW103+'Свод '!AY103+'Свод '!DE103+'Свод '!EQ103+'Свод '!ES103+'Свод '!EU103+'Свод '!EW103+'Свод '!EY103+'Свод '!FA103+'Свод '!HA103+'Свод '!HC103+U103+W103+AA103+AC103</f>
        <v>2293.09066</v>
      </c>
    </row>
    <row r="104" spans="1:41" ht="18.75" customHeight="1">
      <c r="A104" s="108" t="s">
        <v>129</v>
      </c>
      <c r="B104" s="104">
        <v>51221</v>
      </c>
      <c r="C104" s="42">
        <v>48618.139</v>
      </c>
      <c r="D104" s="40">
        <f>SUM(D105:D113)</f>
        <v>0</v>
      </c>
      <c r="E104" s="40">
        <f>SUM(E105:E113)</f>
        <v>0</v>
      </c>
      <c r="F104" s="43">
        <v>833</v>
      </c>
      <c r="G104" s="46">
        <v>811.3616399999999</v>
      </c>
      <c r="H104" s="40">
        <f>SUM(H105:H113)</f>
        <v>0</v>
      </c>
      <c r="I104" s="40">
        <f>SUM(I105:I113)</f>
        <v>0</v>
      </c>
      <c r="J104" s="104">
        <v>0</v>
      </c>
      <c r="K104" s="42">
        <v>0</v>
      </c>
      <c r="L104" s="118">
        <v>0</v>
      </c>
      <c r="M104" s="118">
        <v>0</v>
      </c>
      <c r="N104" s="118">
        <f>SUM(N105:N113)</f>
        <v>0</v>
      </c>
      <c r="O104" s="118">
        <f>SUM(O105:O113)</f>
        <v>0</v>
      </c>
      <c r="P104" s="118">
        <f>SUM(P105:P113)</f>
        <v>0</v>
      </c>
      <c r="Q104" s="118">
        <f>SUM(Q105:Q113)</f>
        <v>0</v>
      </c>
      <c r="R104" s="42">
        <f t="shared" si="8"/>
        <v>52054</v>
      </c>
      <c r="S104" s="42">
        <f t="shared" si="9"/>
        <v>49429.500640000006</v>
      </c>
      <c r="T104" s="42">
        <v>0</v>
      </c>
      <c r="U104" s="42">
        <v>0</v>
      </c>
      <c r="V104" s="40">
        <v>0</v>
      </c>
      <c r="W104" s="40">
        <v>0</v>
      </c>
      <c r="X104" s="42">
        <f t="shared" si="10"/>
        <v>0</v>
      </c>
      <c r="Y104" s="42">
        <f t="shared" si="11"/>
        <v>0</v>
      </c>
      <c r="Z104" s="42">
        <v>0</v>
      </c>
      <c r="AA104" s="42">
        <v>0</v>
      </c>
      <c r="AB104" s="40">
        <v>0</v>
      </c>
      <c r="AC104" s="40">
        <v>0</v>
      </c>
      <c r="AD104" s="42">
        <f t="shared" si="12"/>
        <v>0</v>
      </c>
      <c r="AE104" s="42">
        <f t="shared" si="13"/>
        <v>0</v>
      </c>
      <c r="AF104" s="42">
        <f>'Свод '!AH104+'Свод '!AZ104+'Свод '!BB104+'Свод '!CF104+'Свод '!DF104+'Свод '!DJ104+'Свод '!DP104+'Свод '!FB104+'Свод '!FH104+'Свод '!HD104+'Свод '!HP104+'Свод '!HX104+Лист1!R104+Лист1!AD104+X104</f>
        <v>641518.6489</v>
      </c>
      <c r="AG104" s="42">
        <f>'Свод '!AI104+'Свод '!BA104+'Свод '!BC104+'Свод '!CG104+'Свод '!DG104+'Свод '!DK104+'Свод '!DQ104+'Свод '!FC104+'Свод '!FI104+'Свод '!HE104+'Свод '!HQ104+'Свод '!HY104+Лист1!S104+Лист1!AE104+Y104</f>
        <v>626477.3977199999</v>
      </c>
      <c r="AH104" s="42">
        <f>'Свод '!B104+'Свод '!D104+'Свод '!F104+'Свод '!H104</f>
        <v>25548</v>
      </c>
      <c r="AI104" s="42">
        <f>'Свод '!C104+'Свод '!E104+'Свод '!G104+'Свод '!I104</f>
        <v>25548</v>
      </c>
      <c r="AJ104" s="39">
        <f>'Свод '!AB104+'Свод '!AD104+'Свод '!AL104+'Свод '!AN104+'Свод '!AP104+'Свод '!BD104+'Свод '!BF104+'Свод '!BH104+'Свод '!BJ104+'Свод '!BL104+'Свод '!BN104+'Свод '!BP104+'Свод '!BR104+'Свод '!BT104+'Свод '!BV104+'Свод '!BX104+'Свод '!BZ104+'Свод '!CH104+'Свод '!CJ104+'Свод '!CL104+'Свод '!CN104+'Свод '!CP104+'Свод '!CR104+'Свод '!CT104+'Свод '!CV104+'Свод '!CX104+'Свод '!CZ104+'Свод '!DB104+'Свод '!DH104+'Свод '!DN104+'Свод '!DR104+'Свод '!DT104+'Свод '!DV104+'Свод '!DX104+'Свод '!DZ104+'Свод '!EB104+'Свод '!ED104+'Свод '!EF104+'Свод '!EH104+'Свод '!EJ104+'Свод '!EL104+'Свод '!FJ104+'Свод '!FL104+'Свод '!FN104+'Свод '!FP104+'Свод '!FR104+'Свод '!FT104+'Свод '!FV104+'Свод '!FX104+'Свод '!FZ104+'Свод '!GB104+'Свод '!GD104+'Свод '!GF104+'Свод '!GH104+'Свод '!HF104+'Свод '!HH104+'Свод '!HJ104+'Свод '!HL104+'Свод '!HN104+'Свод '!HR104+Лист1!B104+Лист1!D104+Лист1!F104+Лист1!H104+Лист1!J104+Лист1!L104+Лист1!N104+Лист1!P104+'Свод '!DL104</f>
        <v>165090.1964</v>
      </c>
      <c r="AK104" s="39">
        <f>'Свод '!AC104+'Свод '!AE104+'Свод '!AM104+'Свод '!AO104+'Свод '!AQ104+'Свод '!BE104+'Свод '!BG104+'Свод '!BI104+'Свод '!BK104+'Свод '!BM104+'Свод '!BO104+'Свод '!BQ104+'Свод '!BS104+'Свод '!BU104+'Свод '!BW104+'Свод '!BY104+'Свод '!CA104+'Свод '!CI104+'Свод '!CK104+'Свод '!CM104+'Свод '!CO104+'Свод '!CQ104+'Свод '!CS104+'Свод '!CU104+'Свод '!CW104+'Свод '!CY104+'Свод '!DA104+'Свод '!DC104+'Свод '!DI104+'Свод '!DO104+'Свод '!DS104+'Свод '!DU104+'Свод '!DW104+'Свод '!DY104+'Свод '!EA104+'Свод '!EC104+'Свод '!EE104+'Свод '!EG104+'Свод '!EI104+'Свод '!EK104+'Свод '!EM104+'Свод '!FK104+'Свод '!FM104+'Свод '!FO104+'Свод '!FQ104+'Свод '!FS104+'Свод '!FU104+'Свод '!FW104+'Свод '!FY104+'Свод '!GA104+'Свод '!GC104+'Свод '!GE104+'Свод '!GG104+'Свод '!GI104+'Свод '!HG104+'Свод '!HI104+'Свод '!HK104+'Свод '!HM104+'Свод '!HO104+'Свод '!HS104+Лист1!C104+Лист1!E104+Лист1!G104+Лист1!I104+Лист1!K104+Лист1!M104+Лист1!O104+Лист1!Q104+'Свод '!DM104</f>
        <v>151194.45515999998</v>
      </c>
      <c r="AL104" s="144">
        <f>'Свод '!AF104+'Свод '!AJ104+'Свод '!BB104+'Свод '!CB104+'Свод '!CD104+'Свод '!EN104+'Свод '!FD104+'Свод '!FF104+'Свод '!GJ104+'Свод '!GL104+'Свод '!GN104+'Свод '!GP104+'Свод '!GR104+'Свод '!GT104+'Свод '!GV104+'Свод '!GX104+'Свод '!HT104+'Свод '!HV104</f>
        <v>388109.125</v>
      </c>
      <c r="AM104" s="42">
        <f>'Свод '!AG104+'Свод '!AK104+'Свод '!BC104+'Свод '!CC104+'Свод '!CE104+'Свод '!EO104+'Свод '!FE104+'Свод '!FG104+'Свод '!GK104+'Свод '!GM104+'Свод '!GO104+'Свод '!GQ104+'Свод '!GS104+'Свод '!GU104+'Свод '!GW104+'Свод '!GY104+'Свод '!HU104+'Свод '!HW104</f>
        <v>387998.82144</v>
      </c>
      <c r="AN104" s="42">
        <f>'Свод '!J104+'Свод '!L104+'Свод '!N104+'Свод '!P104+'Свод '!R104+'Свод '!T104+'Свод '!V104+'Свод '!X104+'Свод '!Z104+'Свод '!AR104+'Свод '!AT104+'Свод '!AV104+'Свод '!AX104+'Свод '!DD104+'Свод '!EP104+'Свод '!ER104+'Свод '!ET104+'Свод '!EV104+'Свод '!EX104+'Свод '!EZ104+'Свод '!GZ104+'Свод '!HB104+T104+V104+Z104+AB104</f>
        <v>62771.3275</v>
      </c>
      <c r="AO104" s="42">
        <f>'Свод '!K104+'Свод '!M104+'Свод '!O104+'Свод '!Q104+'Свод '!S104+'Свод '!U104+'Свод '!W104+'Свод '!Y104+'Свод '!AA104+'Свод '!AS104+'Свод '!AU104+'Свод '!AW104+'Свод '!AY104+'Свод '!DE104+'Свод '!EQ104+'Свод '!ES104+'Свод '!EU104+'Свод '!EW104+'Свод '!EY104+'Свод '!FA104+'Свод '!HA104+'Свод '!HC104+U104+W104+AA104+AC104</f>
        <v>61736.12112</v>
      </c>
    </row>
    <row r="105" spans="1:41" ht="12.75">
      <c r="A105" s="103" t="s">
        <v>156</v>
      </c>
      <c r="B105" s="104">
        <v>51221</v>
      </c>
      <c r="C105" s="42">
        <v>48618.139</v>
      </c>
      <c r="D105" s="40"/>
      <c r="E105" s="40"/>
      <c r="F105" s="43">
        <v>590</v>
      </c>
      <c r="G105" s="42">
        <v>583.41364</v>
      </c>
      <c r="H105" s="40"/>
      <c r="I105" s="40"/>
      <c r="J105" s="105"/>
      <c r="K105" s="42"/>
      <c r="L105" s="40"/>
      <c r="M105" s="40"/>
      <c r="N105" s="40"/>
      <c r="O105" s="40"/>
      <c r="P105" s="40"/>
      <c r="Q105" s="40"/>
      <c r="R105" s="42">
        <f t="shared" si="8"/>
        <v>51811</v>
      </c>
      <c r="S105" s="42">
        <f t="shared" si="9"/>
        <v>49201.55264</v>
      </c>
      <c r="T105" s="42"/>
      <c r="U105" s="42"/>
      <c r="V105" s="40"/>
      <c r="W105" s="40"/>
      <c r="X105" s="42">
        <f t="shared" si="10"/>
        <v>0</v>
      </c>
      <c r="Y105" s="42">
        <f t="shared" si="11"/>
        <v>0</v>
      </c>
      <c r="Z105" s="42"/>
      <c r="AA105" s="42"/>
      <c r="AB105" s="40"/>
      <c r="AC105" s="40"/>
      <c r="AD105" s="42">
        <f t="shared" si="12"/>
        <v>0</v>
      </c>
      <c r="AE105" s="42">
        <f t="shared" si="13"/>
        <v>0</v>
      </c>
      <c r="AF105" s="42">
        <f>'Свод '!AH105+'Свод '!AZ105+'Свод '!BB105+'Свод '!CF105+'Свод '!DF105+'Свод '!DJ105+'Свод '!DP105+'Свод '!FB105+'Свод '!FH105+'Свод '!HD105+'Свод '!HP105+'Свод '!HX105+Лист1!R105+Лист1!AD105+X105</f>
        <v>537866.18405</v>
      </c>
      <c r="AG105" s="42">
        <f>'Свод '!AI105+'Свод '!BA105+'Свод '!BC105+'Свод '!CG105+'Свод '!DG105+'Свод '!DK105+'Свод '!DQ105+'Свод '!FC105+'Свод '!FI105+'Свод '!HE105+'Свод '!HQ105+'Свод '!HY105+Лист1!S105+Лист1!AE105+Y105</f>
        <v>524896.33879</v>
      </c>
      <c r="AH105" s="42">
        <f>'Свод '!B105+'Свод '!D105+'Свод '!F105+'Свод '!H105</f>
        <v>0</v>
      </c>
      <c r="AI105" s="42">
        <f>'Свод '!C105+'Свод '!E105+'Свод '!G105+'Свод '!I105</f>
        <v>0</v>
      </c>
      <c r="AJ105" s="39">
        <f>'Свод '!AB105+'Свод '!AD105+'Свод '!AL105+'Свод '!AN105+'Свод '!AP105+'Свод '!BD105+'Свод '!BF105+'Свод '!BH105+'Свод '!BJ105+'Свод '!BL105+'Свод '!BN105+'Свод '!BP105+'Свод '!BR105+'Свод '!BT105+'Свод '!BV105+'Свод '!BX105+'Свод '!BZ105+'Свод '!CH105+'Свод '!CJ105+'Свод '!CL105+'Свод '!CN105+'Свод '!CP105+'Свод '!CR105+'Свод '!CT105+'Свод '!CV105+'Свод '!CX105+'Свод '!CZ105+'Свод '!DB105+'Свод '!DH105+'Свод '!DN105+'Свод '!DR105+'Свод '!DT105+'Свод '!DV105+'Свод '!DX105+'Свод '!DZ105+'Свод '!EB105+'Свод '!ED105+'Свод '!EF105+'Свод '!EH105+'Свод '!EJ105+'Свод '!EL105+'Свод '!FJ105+'Свод '!FL105+'Свод '!FN105+'Свод '!FP105+'Свод '!FR105+'Свод '!FT105+'Свод '!FV105+'Свод '!FX105+'Свод '!FZ105+'Свод '!GB105+'Свод '!GD105+'Свод '!GF105+'Свод '!GH105+'Свод '!HF105+'Свод '!HH105+'Свод '!HJ105+'Свод '!HL105+'Свод '!HN105+'Свод '!HR105+Лист1!B105+Лист1!D105+Лист1!F105+Лист1!H105+Лист1!J105+Лист1!L105+Лист1!N105+Лист1!P105+'Свод '!DL105</f>
        <v>134811.299</v>
      </c>
      <c r="AK105" s="39">
        <f>'Свод '!AC105+'Свод '!AE105+'Свод '!AM105+'Свод '!AO105+'Свод '!AQ105+'Свод '!BE105+'Свод '!BG105+'Свод '!BI105+'Свод '!BK105+'Свод '!BM105+'Свод '!BO105+'Свод '!BQ105+'Свод '!BS105+'Свод '!BU105+'Свод '!BW105+'Свод '!BY105+'Свод '!CA105+'Свод '!CI105+'Свод '!CK105+'Свод '!CM105+'Свод '!CO105+'Свод '!CQ105+'Свод '!CS105+'Свод '!CU105+'Свод '!CW105+'Свод '!CY105+'Свод '!DA105+'Свод '!DC105+'Свод '!DI105+'Свод '!DO105+'Свод '!DS105+'Свод '!DU105+'Свод '!DW105+'Свод '!DY105+'Свод '!EA105+'Свод '!EC105+'Свод '!EE105+'Свод '!EG105+'Свод '!EI105+'Свод '!EK105+'Свод '!EM105+'Свод '!FK105+'Свод '!FM105+'Свод '!FO105+'Свод '!FQ105+'Свод '!FS105+'Свод '!FU105+'Свод '!FW105+'Свод '!FY105+'Свод '!GA105+'Свод '!GC105+'Свод '!GE105+'Свод '!GG105+'Свод '!GI105+'Свод '!HG105+'Свод '!HI105+'Свод '!HK105+'Свод '!HM105+'Свод '!HO105+'Свод '!HS105+Лист1!C105+Лист1!E105+Лист1!G105+Лист1!I105+Лист1!K105+Лист1!M105+Лист1!O105+Лист1!Q105+'Свод '!DM105</f>
        <v>121855.12374</v>
      </c>
      <c r="AL105" s="144">
        <f>'Свод '!AF105+'Свод '!AJ105+'Свод '!BB105+'Свод '!CB105+'Свод '!CD105+'Свод '!EN105+'Свод '!FD105+'Свод '!FF105+'Свод '!GJ105+'Свод '!GL105+'Свод '!GN105+'Свод '!GP105+'Свод '!GR105+'Свод '!GT105+'Свод '!GV105+'Свод '!GX105+'Свод '!HT105+'Свод '!HV105</f>
        <v>386642.125</v>
      </c>
      <c r="AM105" s="42">
        <f>'Свод '!AG105+'Свод '!AK105+'Свод '!BC105+'Свод '!CC105+'Свод '!CE105+'Свод '!EO105+'Свод '!FE105+'Свод '!FG105+'Свод '!GK105+'Свод '!GM105+'Свод '!GO105+'Свод '!GQ105+'Свод '!GS105+'Свод '!GU105+'Свод '!GW105+'Свод '!GY105+'Свод '!HU105+'Свод '!HW105</f>
        <v>386628.455</v>
      </c>
      <c r="AN105" s="42">
        <f>'Свод '!J105+'Свод '!L105+'Свод '!N105+'Свод '!P105+'Свод '!R105+'Свод '!T105+'Свод '!V105+'Свод '!X105+'Свод '!Z105+'Свод '!AR105+'Свод '!AT105+'Свод '!AV105+'Свод '!AX105+'Свод '!DD105+'Свод '!EP105+'Свод '!ER105+'Свод '!ET105+'Свод '!EV105+'Свод '!EX105+'Свод '!EZ105+'Свод '!GZ105+'Свод '!HB105+T105+V105+Z105+AB105</f>
        <v>16412.76005</v>
      </c>
      <c r="AO105" s="42">
        <f>'Свод '!K105+'Свод '!M105+'Свод '!O105+'Свод '!Q105+'Свод '!S105+'Свод '!U105+'Свод '!W105+'Свод '!Y105+'Свод '!AA105+'Свод '!AS105+'Свод '!AU105+'Свод '!AW105+'Свод '!AY105+'Свод '!DE105+'Свод '!EQ105+'Свод '!ES105+'Свод '!EU105+'Свод '!EW105+'Свод '!EY105+'Свод '!FA105+'Свод '!HA105+'Свод '!HC105+U105+W105+AA105+AC105</f>
        <v>16412.76005</v>
      </c>
    </row>
    <row r="106" spans="1:41" ht="12.75" customHeight="1">
      <c r="A106" s="111" t="s">
        <v>128</v>
      </c>
      <c r="B106" s="104"/>
      <c r="C106" s="42"/>
      <c r="D106" s="40"/>
      <c r="E106" s="40"/>
      <c r="F106" s="43">
        <v>160</v>
      </c>
      <c r="G106" s="42">
        <v>149.378</v>
      </c>
      <c r="H106" s="40"/>
      <c r="I106" s="40"/>
      <c r="J106" s="112"/>
      <c r="K106" s="42"/>
      <c r="L106" s="40"/>
      <c r="M106" s="40"/>
      <c r="N106" s="40"/>
      <c r="O106" s="40"/>
      <c r="P106" s="40"/>
      <c r="Q106" s="40"/>
      <c r="R106" s="42">
        <f t="shared" si="8"/>
        <v>160</v>
      </c>
      <c r="S106" s="42">
        <f t="shared" si="9"/>
        <v>149.378</v>
      </c>
      <c r="T106" s="42"/>
      <c r="U106" s="42"/>
      <c r="V106" s="40"/>
      <c r="W106" s="40"/>
      <c r="X106" s="42">
        <f t="shared" si="10"/>
        <v>0</v>
      </c>
      <c r="Y106" s="42">
        <f t="shared" si="11"/>
        <v>0</v>
      </c>
      <c r="Z106" s="42"/>
      <c r="AA106" s="42"/>
      <c r="AB106" s="40"/>
      <c r="AC106" s="40"/>
      <c r="AD106" s="42">
        <f t="shared" si="12"/>
        <v>0</v>
      </c>
      <c r="AE106" s="42">
        <f t="shared" si="13"/>
        <v>0</v>
      </c>
      <c r="AF106" s="42">
        <f>'Свод '!AH106+'Свод '!AZ106+'Свод '!BB106+'Свод '!CF106+'Свод '!DF106+'Свод '!DJ106+'Свод '!DP106+'Свод '!FB106+'Свод '!FH106+'Свод '!HD106+'Свод '!HP106+'Свод '!HX106+Лист1!R106+Лист1!AD106+X106</f>
        <v>52617.50563</v>
      </c>
      <c r="AG106" s="42">
        <f>'Свод '!AI106+'Свод '!BA106+'Свод '!BC106+'Свод '!CG106+'Свод '!DG106+'Свод '!DK106+'Свод '!DQ106+'Свод '!FC106+'Свод '!FI106+'Свод '!HE106+'Свод '!HQ106+'Свод '!HY106+Лист1!S106+Лист1!AE106+Y106</f>
        <v>51597.12826</v>
      </c>
      <c r="AH106" s="42">
        <f>'Свод '!B106+'Свод '!D106+'Свод '!F106+'Свод '!H106</f>
        <v>3005.0000000000005</v>
      </c>
      <c r="AI106" s="42">
        <f>'Свод '!C106+'Свод '!E106+'Свод '!G106+'Свод '!I106</f>
        <v>3005.0000000000005</v>
      </c>
      <c r="AJ106" s="39">
        <f>'Свод '!AB106+'Свод '!AD106+'Свод '!AL106+'Свод '!AN106+'Свод '!AP106+'Свод '!BD106+'Свод '!BF106+'Свод '!BH106+'Свод '!BJ106+'Свод '!BL106+'Свод '!BN106+'Свод '!BP106+'Свод '!BR106+'Свод '!BT106+'Свод '!BV106+'Свод '!BX106+'Свод '!BZ106+'Свод '!CH106+'Свод '!CJ106+'Свод '!CL106+'Свод '!CN106+'Свод '!CP106+'Свод '!CR106+'Свод '!CT106+'Свод '!CV106+'Свод '!CX106+'Свод '!CZ106+'Свод '!DB106+'Свод '!DH106+'Свод '!DN106+'Свод '!DR106+'Свод '!DT106+'Свод '!DV106+'Свод '!DX106+'Свод '!DZ106+'Свод '!EB106+'Свод '!ED106+'Свод '!EF106+'Свод '!EH106+'Свод '!EJ106+'Свод '!EL106+'Свод '!FJ106+'Свод '!FL106+'Свод '!FN106+'Свод '!FP106+'Свод '!FR106+'Свод '!FT106+'Свод '!FV106+'Свод '!FX106+'Свод '!FZ106+'Свод '!GB106+'Свод '!GD106+'Свод '!GF106+'Свод '!GH106+'Свод '!HF106+'Свод '!HH106+'Свод '!HJ106+'Свод '!HL106+'Свод '!HN106+'Свод '!HR106+Лист1!B106+Лист1!D106+Лист1!F106+Лист1!H106+Лист1!J106+Лист1!L106+Лист1!N106+Лист1!P106+'Свод '!DL106</f>
        <v>18429.8534</v>
      </c>
      <c r="AK106" s="39">
        <f>'Свод '!AC106+'Свод '!AE106+'Свод '!AM106+'Свод '!AO106+'Свод '!AQ106+'Свод '!BE106+'Свод '!BG106+'Свод '!BI106+'Свод '!BK106+'Свод '!BM106+'Свод '!BO106+'Свод '!BQ106+'Свод '!BS106+'Свод '!BU106+'Свод '!BW106+'Свод '!BY106+'Свод '!CA106+'Свод '!CI106+'Свод '!CK106+'Свод '!CM106+'Свод '!CO106+'Свод '!CQ106+'Свод '!CS106+'Свод '!CU106+'Свод '!CW106+'Свод '!CY106+'Свод '!DA106+'Свод '!DC106+'Свод '!DI106+'Свод '!DO106+'Свод '!DS106+'Свод '!DU106+'Свод '!DW106+'Свод '!DY106+'Свод '!EA106+'Свод '!EC106+'Свод '!EE106+'Свод '!EG106+'Свод '!EI106+'Свод '!EK106+'Свод '!EM106+'Свод '!FK106+'Свод '!FM106+'Свод '!FO106+'Свод '!FQ106+'Свод '!FS106+'Свод '!FU106+'Свод '!FW106+'Свод '!FY106+'Свод '!GA106+'Свод '!GC106+'Свод '!GE106+'Свод '!GG106+'Свод '!GI106+'Свод '!HG106+'Свод '!HI106+'Свод '!HK106+'Свод '!HM106+'Свод '!HO106+'Свод '!HS106+Лист1!C106+Лист1!E106+Лист1!G106+Лист1!I106+Лист1!K106+Лист1!M106+Лист1!O106+Лист1!Q106+'Свод '!DM106</f>
        <v>18357.84442</v>
      </c>
      <c r="AL106" s="144">
        <f>'Свод '!AF106+'Свод '!AJ106+'Свод '!BB106+'Свод '!CB106+'Свод '!CD106+'Свод '!EN106+'Свод '!FD106+'Свод '!FF106+'Свод '!GJ106+'Свод '!GL106+'Свод '!GN106+'Свод '!GP106+'Свод '!GR106+'Свод '!GT106+'Свод '!GV106+'Свод '!GX106+'Свод '!HT106+'Свод '!HV106</f>
        <v>0</v>
      </c>
      <c r="AM106" s="42">
        <f>'Свод '!AG106+'Свод '!AK106+'Свод '!BC106+'Свод '!CC106+'Свод '!CE106+'Свод '!EO106+'Свод '!FE106+'Свод '!FG106+'Свод '!GK106+'Свод '!GM106+'Свод '!GO106+'Свод '!GQ106+'Свод '!GS106+'Свод '!GU106+'Свод '!GW106+'Свод '!GY106+'Свод '!HU106+'Свод '!HW106</f>
        <v>0</v>
      </c>
      <c r="AN106" s="42">
        <f>'Свод '!J106+'Свод '!L106+'Свод '!N106+'Свод '!P106+'Свод '!R106+'Свод '!T106+'Свод '!V106+'Свод '!X106+'Свод '!Z106+'Свод '!AR106+'Свод '!AT106+'Свод '!AV106+'Свод '!AX106+'Свод '!DD106+'Свод '!EP106+'Свод '!ER106+'Свод '!ET106+'Свод '!EV106+'Свод '!EX106+'Свод '!EZ106+'Свод '!GZ106+'Свод '!HB106+T106+V106+Z106+AB106</f>
        <v>31182.65223</v>
      </c>
      <c r="AO106" s="42">
        <f>'Свод '!K106+'Свод '!M106+'Свод '!O106+'Свод '!Q106+'Свод '!S106+'Свод '!U106+'Свод '!W106+'Свод '!Y106+'Свод '!AA106+'Свод '!AS106+'Свод '!AU106+'Свод '!AW106+'Свод '!AY106+'Свод '!DE106+'Свод '!EQ106+'Свод '!ES106+'Свод '!EU106+'Свод '!EW106+'Свод '!EY106+'Свод '!FA106+'Свод '!HA106+'Свод '!HC106+U106+W106+AA106+AC106</f>
        <v>30234.28384</v>
      </c>
    </row>
    <row r="107" spans="1:41" ht="12.75">
      <c r="A107" s="111" t="s">
        <v>215</v>
      </c>
      <c r="B107" s="104"/>
      <c r="C107" s="42"/>
      <c r="D107" s="40"/>
      <c r="E107" s="40"/>
      <c r="F107" s="43"/>
      <c r="G107" s="46"/>
      <c r="H107" s="40"/>
      <c r="I107" s="40"/>
      <c r="J107" s="112"/>
      <c r="K107" s="42"/>
      <c r="L107" s="40"/>
      <c r="M107" s="40"/>
      <c r="N107" s="40"/>
      <c r="O107" s="40"/>
      <c r="P107" s="40"/>
      <c r="Q107" s="40"/>
      <c r="R107" s="42">
        <f t="shared" si="8"/>
        <v>0</v>
      </c>
      <c r="S107" s="42">
        <f t="shared" si="9"/>
        <v>0</v>
      </c>
      <c r="T107" s="42"/>
      <c r="U107" s="42"/>
      <c r="V107" s="40"/>
      <c r="W107" s="40"/>
      <c r="X107" s="42">
        <f t="shared" si="10"/>
        <v>0</v>
      </c>
      <c r="Y107" s="42">
        <f t="shared" si="11"/>
        <v>0</v>
      </c>
      <c r="Z107" s="42"/>
      <c r="AA107" s="42"/>
      <c r="AB107" s="40"/>
      <c r="AC107" s="40"/>
      <c r="AD107" s="42">
        <f t="shared" si="12"/>
        <v>0</v>
      </c>
      <c r="AE107" s="42">
        <f t="shared" si="13"/>
        <v>0</v>
      </c>
      <c r="AF107" s="42">
        <f>'Свод '!AH107+'Свод '!AZ107+'Свод '!BB107+'Свод '!CF107+'Свод '!DF107+'Свод '!DJ107+'Свод '!DP107+'Свод '!FB107+'Свод '!FH107+'Свод '!HD107+'Свод '!HP107+'Свод '!HX107+Лист1!R107+Лист1!AD107+X107</f>
        <v>3021.37416</v>
      </c>
      <c r="AG107" s="42">
        <f>'Свод '!AI107+'Свод '!BA107+'Свод '!BC107+'Свод '!CG107+'Свод '!DG107+'Свод '!DK107+'Свод '!DQ107+'Свод '!FC107+'Свод '!FI107+'Свод '!HE107+'Свод '!HQ107+'Свод '!HY107+Лист1!S107+Лист1!AE107+Y107</f>
        <v>3019.28172</v>
      </c>
      <c r="AH107" s="42">
        <f>'Свод '!B107+'Свод '!D107+'Свод '!F107+'Свод '!H107</f>
        <v>1006</v>
      </c>
      <c r="AI107" s="42">
        <f>'Свод '!C107+'Свод '!E107+'Свод '!G107+'Свод '!I107</f>
        <v>1006</v>
      </c>
      <c r="AJ107" s="39">
        <f>'Свод '!AB107+'Свод '!AD107+'Свод '!AL107+'Свод '!AN107+'Свод '!AP107+'Свод '!BD107+'Свод '!BF107+'Свод '!BH107+'Свод '!BJ107+'Свод '!BL107+'Свод '!BN107+'Свод '!BP107+'Свод '!BR107+'Свод '!BT107+'Свод '!BV107+'Свод '!BX107+'Свод '!BZ107+'Свод '!CH107+'Свод '!CJ107+'Свод '!CL107+'Свод '!CN107+'Свод '!CP107+'Свод '!CR107+'Свод '!CT107+'Свод '!CV107+'Свод '!CX107+'Свод '!CZ107+'Свод '!DB107+'Свод '!DH107+'Свод '!DN107+'Свод '!DR107+'Свод '!DT107+'Свод '!DV107+'Свод '!DX107+'Свод '!DZ107+'Свод '!EB107+'Свод '!ED107+'Свод '!EF107+'Свод '!EH107+'Свод '!EJ107+'Свод '!EL107+'Свод '!FJ107+'Свод '!FL107+'Свод '!FN107+'Свод '!FP107+'Свод '!FR107+'Свод '!FT107+'Свод '!FV107+'Свод '!FX107+'Свод '!FZ107+'Свод '!GB107+'Свод '!GD107+'Свод '!GF107+'Свод '!GH107+'Свод '!HF107+'Свод '!HH107+'Свод '!HJ107+'Свод '!HL107+'Свод '!HN107+'Свод '!HR107+Лист1!B107+Лист1!D107+Лист1!F107+Лист1!H107+Лист1!J107+Лист1!L107+Лист1!N107+Лист1!P107+'Свод '!DL107</f>
        <v>1274.041</v>
      </c>
      <c r="AK107" s="39">
        <f>'Свод '!AC107+'Свод '!AE107+'Свод '!AM107+'Свод '!AO107+'Свод '!AQ107+'Свод '!BE107+'Свод '!BG107+'Свод '!BI107+'Свод '!BK107+'Свод '!BM107+'Свод '!BO107+'Свод '!BQ107+'Свод '!BS107+'Свод '!BU107+'Свод '!BW107+'Свод '!BY107+'Свод '!CA107+'Свод '!CI107+'Свод '!CK107+'Свод '!CM107+'Свод '!CO107+'Свод '!CQ107+'Свод '!CS107+'Свод '!CU107+'Свод '!CW107+'Свод '!CY107+'Свод '!DA107+'Свод '!DC107+'Свод '!DI107+'Свод '!DO107+'Свод '!DS107+'Свод '!DU107+'Свод '!DW107+'Свод '!DY107+'Свод '!EA107+'Свод '!EC107+'Свод '!EE107+'Свод '!EG107+'Свод '!EI107+'Свод '!EK107+'Свод '!EM107+'Свод '!FK107+'Свод '!FM107+'Свод '!FO107+'Свод '!FQ107+'Свод '!FS107+'Свод '!FU107+'Свод '!FW107+'Свод '!FY107+'Свод '!GA107+'Свод '!GC107+'Свод '!GE107+'Свод '!GG107+'Свод '!GI107+'Свод '!HG107+'Свод '!HI107+'Свод '!HK107+'Свод '!HM107+'Свод '!HO107+'Свод '!HS107+Лист1!C107+Лист1!E107+Лист1!G107+Лист1!I107+Лист1!K107+Лист1!M107+Лист1!O107+Лист1!Q107+'Свод '!DM107</f>
        <v>1274.041</v>
      </c>
      <c r="AL107" s="144">
        <f>'Свод '!AF107+'Свод '!AJ107+'Свод '!BB107+'Свод '!CB107+'Свод '!CD107+'Свод '!EN107+'Свод '!FD107+'Свод '!FF107+'Свод '!GJ107+'Свод '!GL107+'Свод '!GN107+'Свод '!GP107+'Свод '!GR107+'Свод '!GT107+'Свод '!GV107+'Свод '!GX107+'Свод '!HT107+'Свод '!HV107</f>
        <v>147</v>
      </c>
      <c r="AM107" s="42">
        <f>'Свод '!AG107+'Свод '!AK107+'Свод '!BC107+'Свод '!CC107+'Свод '!CE107+'Свод '!EO107+'Свод '!FE107+'Свод '!FG107+'Свод '!GK107+'Свод '!GM107+'Свод '!GO107+'Свод '!GQ107+'Свод '!GS107+'Свод '!GU107+'Свод '!GW107+'Свод '!GY107+'Свод '!HU107+'Свод '!HW107</f>
        <v>147</v>
      </c>
      <c r="AN107" s="42">
        <f>'Свод '!J107+'Свод '!L107+'Свод '!N107+'Свод '!P107+'Свод '!R107+'Свод '!T107+'Свод '!V107+'Свод '!X107+'Свод '!Z107+'Свод '!AR107+'Свод '!AT107+'Свод '!AV107+'Свод '!AX107+'Свод '!DD107+'Свод '!EP107+'Свод '!ER107+'Свод '!ET107+'Свод '!EV107+'Свод '!EX107+'Свод '!EZ107+'Свод '!GZ107+'Свод '!HB107+T107+V107+Z107+AB107</f>
        <v>594.33316</v>
      </c>
      <c r="AO107" s="42">
        <f>'Свод '!K107+'Свод '!M107+'Свод '!O107+'Свод '!Q107+'Свод '!S107+'Свод '!U107+'Свод '!W107+'Свод '!Y107+'Свод '!AA107+'Свод '!AS107+'Свод '!AU107+'Свод '!AW107+'Свод '!AY107+'Свод '!DE107+'Свод '!EQ107+'Свод '!ES107+'Свод '!EU107+'Свод '!EW107+'Свод '!EY107+'Свод '!FA107+'Свод '!HA107+'Свод '!HC107+U107+W107+AA107+AC107</f>
        <v>592.24072</v>
      </c>
    </row>
    <row r="108" spans="1:41" ht="12.75" customHeight="1">
      <c r="A108" s="111" t="s">
        <v>216</v>
      </c>
      <c r="B108" s="104"/>
      <c r="C108" s="42"/>
      <c r="D108" s="40"/>
      <c r="E108" s="40"/>
      <c r="F108" s="43"/>
      <c r="G108" s="46"/>
      <c r="H108" s="40"/>
      <c r="I108" s="40"/>
      <c r="J108" s="112"/>
      <c r="K108" s="42"/>
      <c r="L108" s="40"/>
      <c r="M108" s="40"/>
      <c r="N108" s="40"/>
      <c r="O108" s="40"/>
      <c r="P108" s="40"/>
      <c r="Q108" s="40"/>
      <c r="R108" s="42">
        <f t="shared" si="8"/>
        <v>0</v>
      </c>
      <c r="S108" s="42">
        <f t="shared" si="9"/>
        <v>0</v>
      </c>
      <c r="T108" s="42"/>
      <c r="U108" s="42"/>
      <c r="V108" s="40"/>
      <c r="W108" s="40"/>
      <c r="X108" s="42">
        <f t="shared" si="10"/>
        <v>0</v>
      </c>
      <c r="Y108" s="42">
        <f t="shared" si="11"/>
        <v>0</v>
      </c>
      <c r="Z108" s="42"/>
      <c r="AA108" s="42"/>
      <c r="AB108" s="40"/>
      <c r="AC108" s="40"/>
      <c r="AD108" s="42">
        <f t="shared" si="12"/>
        <v>0</v>
      </c>
      <c r="AE108" s="42">
        <f t="shared" si="13"/>
        <v>0</v>
      </c>
      <c r="AF108" s="42">
        <f>'Свод '!AH108+'Свод '!AZ108+'Свод '!BB108+'Свод '!CF108+'Свод '!DF108+'Свод '!DJ108+'Свод '!DP108+'Свод '!FB108+'Свод '!FH108+'Свод '!HD108+'Свод '!HP108+'Свод '!HX108+Лист1!R108+Лист1!AD108+X108</f>
        <v>12658.62066</v>
      </c>
      <c r="AG108" s="42">
        <f>'Свод '!AI108+'Свод '!BA108+'Свод '!BC108+'Свод '!CG108+'Свод '!DG108+'Свод '!DK108+'Свод '!DQ108+'Свод '!FC108+'Свод '!FI108+'Свод '!HE108+'Свод '!HQ108+'Свод '!HY108+Лист1!S108+Лист1!AE108+Y108</f>
        <v>12527.55587</v>
      </c>
      <c r="AH108" s="42">
        <f>'Свод '!B108+'Свод '!D108+'Свод '!F108+'Свод '!H108</f>
        <v>925.0000000000001</v>
      </c>
      <c r="AI108" s="42">
        <f>'Свод '!C108+'Свод '!E108+'Свод '!G108+'Свод '!I108</f>
        <v>925.0000000000001</v>
      </c>
      <c r="AJ108" s="39">
        <f>'Свод '!AB108+'Свод '!AD108+'Свод '!AL108+'Свод '!AN108+'Свод '!AP108+'Свод '!BD108+'Свод '!BF108+'Свод '!BH108+'Свод '!BJ108+'Свод '!BL108+'Свод '!BN108+'Свод '!BP108+'Свод '!BR108+'Свод '!BT108+'Свод '!BV108+'Свод '!BX108+'Свод '!BZ108+'Свод '!CH108+'Свод '!CJ108+'Свод '!CL108+'Свод '!CN108+'Свод '!CP108+'Свод '!CR108+'Свод '!CT108+'Свод '!CV108+'Свод '!CX108+'Свод '!CZ108+'Свод '!DB108+'Свод '!DH108+'Свод '!DN108+'Свод '!DR108+'Свод '!DT108+'Свод '!DV108+'Свод '!DX108+'Свод '!DZ108+'Свод '!EB108+'Свод '!ED108+'Свод '!EF108+'Свод '!EH108+'Свод '!EJ108+'Свод '!EL108+'Свод '!FJ108+'Свод '!FL108+'Свод '!FN108+'Свод '!FP108+'Свод '!FR108+'Свод '!FT108+'Свод '!FV108+'Свод '!FX108+'Свод '!FZ108+'Свод '!GB108+'Свод '!GD108+'Свод '!GF108+'Свод '!GH108+'Свод '!HF108+'Свод '!HH108+'Свод '!HJ108+'Свод '!HL108+'Свод '!HN108+'Свод '!HR108+Лист1!B108+Лист1!D108+Лист1!F108+Лист1!H108+Лист1!J108+Лист1!L108+Лист1!N108+Лист1!P108+'Свод '!DL108</f>
        <v>4176.7</v>
      </c>
      <c r="AK108" s="39">
        <f>'Свод '!AC108+'Свод '!AE108+'Свод '!AM108+'Свод '!AO108+'Свод '!AQ108+'Свод '!BE108+'Свод '!BG108+'Свод '!BI108+'Свод '!BK108+'Свод '!BM108+'Свод '!BO108+'Свод '!BQ108+'Свод '!BS108+'Свод '!BU108+'Свод '!BW108+'Свод '!BY108+'Свод '!CA108+'Свод '!CI108+'Свод '!CK108+'Свод '!CM108+'Свод '!CO108+'Свод '!CQ108+'Свод '!CS108+'Свод '!CU108+'Свод '!CW108+'Свод '!CY108+'Свод '!DA108+'Свод '!DC108+'Свод '!DI108+'Свод '!DO108+'Свод '!DS108+'Свод '!DU108+'Свод '!DW108+'Свод '!DY108+'Свод '!EA108+'Свод '!EC108+'Свод '!EE108+'Свод '!EG108+'Свод '!EI108+'Свод '!EK108+'Свод '!EM108+'Свод '!FK108+'Свод '!FM108+'Свод '!FO108+'Свод '!FQ108+'Свод '!FS108+'Свод '!FU108+'Свод '!FW108+'Свод '!FY108+'Свод '!GA108+'Свод '!GC108+'Свод '!GE108+'Свод '!GG108+'Свод '!GI108+'Свод '!HG108+'Свод '!HI108+'Свод '!HK108+'Свод '!HM108+'Свод '!HO108+'Свод '!HS108+Лист1!C108+Лист1!E108+Лист1!G108+Лист1!I108+Лист1!K108+Лист1!M108+Лист1!O108+Лист1!Q108+'Свод '!DM108</f>
        <v>4129.9</v>
      </c>
      <c r="AL108" s="144">
        <f>'Свод '!AF108+'Свод '!AJ108+'Свод '!BB108+'Свод '!CB108+'Свод '!CD108+'Свод '!EN108+'Свод '!FD108+'Свод '!FF108+'Свод '!GJ108+'Свод '!GL108+'Свод '!GN108+'Свод '!GP108+'Свод '!GR108+'Свод '!GT108+'Свод '!GV108+'Свод '!GX108+'Свод '!HT108+'Свод '!HV108</f>
        <v>147</v>
      </c>
      <c r="AM108" s="42">
        <f>'Свод '!AG108+'Свод '!AK108+'Свод '!BC108+'Свод '!CC108+'Свод '!CE108+'Свод '!EO108+'Свод '!FE108+'Свод '!FG108+'Свод '!GK108+'Свод '!GM108+'Свод '!GO108+'Свод '!GQ108+'Свод '!GS108+'Свод '!GU108+'Свод '!GW108+'Свод '!GY108+'Свод '!HU108+'Свод '!HW108</f>
        <v>147</v>
      </c>
      <c r="AN108" s="42">
        <f>'Свод '!J108+'Свод '!L108+'Свод '!N108+'Свод '!P108+'Свод '!R108+'Свод '!T108+'Свод '!V108+'Свод '!X108+'Свод '!Z108+'Свод '!AR108+'Свод '!AT108+'Свод '!AV108+'Свод '!AX108+'Свод '!DD108+'Свод '!EP108+'Свод '!ER108+'Свод '!ET108+'Свод '!EV108+'Свод '!EX108+'Свод '!EZ108+'Свод '!GZ108+'Свод '!HB108+T108+V108+Z108+AB108</f>
        <v>7409.92066</v>
      </c>
      <c r="AO108" s="42">
        <f>'Свод '!K108+'Свод '!M108+'Свод '!O108+'Свод '!Q108+'Свод '!S108+'Свод '!U108+'Свод '!W108+'Свод '!Y108+'Свод '!AA108+'Свод '!AS108+'Свод '!AU108+'Свод '!AW108+'Свод '!AY108+'Свод '!DE108+'Свод '!EQ108+'Свод '!ES108+'Свод '!EU108+'Свод '!EW108+'Свод '!EY108+'Свод '!FA108+'Свод '!HA108+'Свод '!HC108+U108+W108+AA108+AC108</f>
        <v>7325.65587</v>
      </c>
    </row>
    <row r="109" spans="1:41" ht="12.75">
      <c r="A109" s="111" t="s">
        <v>217</v>
      </c>
      <c r="B109" s="104"/>
      <c r="C109" s="42"/>
      <c r="D109" s="40"/>
      <c r="E109" s="40"/>
      <c r="F109" s="43"/>
      <c r="G109" s="46"/>
      <c r="H109" s="40"/>
      <c r="I109" s="40"/>
      <c r="J109" s="112"/>
      <c r="K109" s="42"/>
      <c r="L109" s="40"/>
      <c r="M109" s="40"/>
      <c r="N109" s="40"/>
      <c r="O109" s="40"/>
      <c r="P109" s="40"/>
      <c r="Q109" s="40"/>
      <c r="R109" s="42">
        <f t="shared" si="8"/>
        <v>0</v>
      </c>
      <c r="S109" s="42">
        <f t="shared" si="9"/>
        <v>0</v>
      </c>
      <c r="T109" s="42"/>
      <c r="U109" s="42"/>
      <c r="V109" s="40"/>
      <c r="W109" s="40"/>
      <c r="X109" s="42">
        <f t="shared" si="10"/>
        <v>0</v>
      </c>
      <c r="Y109" s="42">
        <f t="shared" si="11"/>
        <v>0</v>
      </c>
      <c r="Z109" s="42"/>
      <c r="AA109" s="42"/>
      <c r="AB109" s="40"/>
      <c r="AC109" s="40"/>
      <c r="AD109" s="42">
        <f t="shared" si="12"/>
        <v>0</v>
      </c>
      <c r="AE109" s="42">
        <f t="shared" si="13"/>
        <v>0</v>
      </c>
      <c r="AF109" s="42">
        <f>'Свод '!AH109+'Свод '!AZ109+'Свод '!BB109+'Свод '!CF109+'Свод '!DF109+'Свод '!DJ109+'Свод '!DP109+'Свод '!FB109+'Свод '!FH109+'Свод '!HD109+'Свод '!HP109+'Свод '!HX109+Лист1!R109+Лист1!AD109+X109</f>
        <v>8817.925430000001</v>
      </c>
      <c r="AG109" s="42">
        <f>'Свод '!AI109+'Свод '!BA109+'Свод '!BC109+'Свод '!CG109+'Свод '!DG109+'Свод '!DK109+'Свод '!DQ109+'Свод '!FC109+'Свод '!FI109+'Свод '!HE109+'Свод '!HQ109+'Свод '!HY109+Лист1!S109+Лист1!AE109+Y109</f>
        <v>8744.49143</v>
      </c>
      <c r="AH109" s="42">
        <f>'Свод '!B109+'Свод '!D109+'Свод '!F109+'Свод '!H109</f>
        <v>1538</v>
      </c>
      <c r="AI109" s="42">
        <f>'Свод '!C109+'Свод '!E109+'Свод '!G109+'Свод '!I109</f>
        <v>1538</v>
      </c>
      <c r="AJ109" s="39">
        <f>'Свод '!AB109+'Свод '!AD109+'Свод '!AL109+'Свод '!AN109+'Свод '!AP109+'Свод '!BD109+'Свод '!BF109+'Свод '!BH109+'Свод '!BJ109+'Свод '!BL109+'Свод '!BN109+'Свод '!BP109+'Свод '!BR109+'Свод '!BT109+'Свод '!BV109+'Свод '!BX109+'Свод '!BZ109+'Свод '!CH109+'Свод '!CJ109+'Свод '!CL109+'Свод '!CN109+'Свод '!CP109+'Свод '!CR109+'Свод '!CT109+'Свод '!CV109+'Свод '!CX109+'Свод '!CZ109+'Свод '!DB109+'Свод '!DH109+'Свод '!DN109+'Свод '!DR109+'Свод '!DT109+'Свод '!DV109+'Свод '!DX109+'Свод '!DZ109+'Свод '!EB109+'Свод '!ED109+'Свод '!EF109+'Свод '!EH109+'Свод '!EJ109+'Свод '!EL109+'Свод '!FJ109+'Свод '!FL109+'Свод '!FN109+'Свод '!FP109+'Свод '!FR109+'Свод '!FT109+'Свод '!FV109+'Свод '!FX109+'Свод '!FZ109+'Свод '!GB109+'Свод '!GD109+'Свод '!GF109+'Свод '!GH109+'Свод '!HF109+'Свод '!HH109+'Свод '!HJ109+'Свод '!HL109+'Свод '!HN109+'Свод '!HR109+Лист1!B109+Лист1!D109+Лист1!F109+Лист1!H109+Лист1!J109+Лист1!L109+Лист1!N109+Лист1!P109+'Свод '!DL109</f>
        <v>2298.661</v>
      </c>
      <c r="AK109" s="39">
        <f>'Свод '!AC109+'Свод '!AE109+'Свод '!AM109+'Свод '!AO109+'Свод '!AQ109+'Свод '!BE109+'Свод '!BG109+'Свод '!BI109+'Свод '!BK109+'Свод '!BM109+'Свод '!BO109+'Свод '!BQ109+'Свод '!BS109+'Свод '!BU109+'Свод '!BW109+'Свод '!BY109+'Свод '!CA109+'Свод '!CI109+'Свод '!CK109+'Свод '!CM109+'Свод '!CO109+'Свод '!CQ109+'Свод '!CS109+'Свод '!CU109+'Свод '!CW109+'Свод '!CY109+'Свод '!DA109+'Свод '!DC109+'Свод '!DI109+'Свод '!DO109+'Свод '!DS109+'Свод '!DU109+'Свод '!DW109+'Свод '!DY109+'Свод '!EA109+'Свод '!EC109+'Свод '!EE109+'Свод '!EG109+'Свод '!EI109+'Свод '!EK109+'Свод '!EM109+'Свод '!FK109+'Свод '!FM109+'Свод '!FO109+'Свод '!FQ109+'Свод '!FS109+'Свод '!FU109+'Свод '!FW109+'Свод '!FY109+'Свод '!GA109+'Свод '!GC109+'Свод '!GE109+'Свод '!GG109+'Свод '!GI109+'Свод '!HG109+'Свод '!HI109+'Свод '!HK109+'Свод '!HM109+'Свод '!HO109+'Свод '!HS109+Лист1!C109+Лист1!E109+Лист1!G109+Лист1!I109+Лист1!K109+Лист1!M109+Лист1!O109+Лист1!Q109+'Свод '!DM109</f>
        <v>2298.661</v>
      </c>
      <c r="AL109" s="144">
        <f>'Свод '!AF109+'Свод '!AJ109+'Свод '!BB109+'Свод '!CB109+'Свод '!CD109+'Свод '!EN109+'Свод '!FD109+'Свод '!FF109+'Свод '!GJ109+'Свод '!GL109+'Свод '!GN109+'Свод '!GP109+'Свод '!GR109+'Свод '!GT109+'Свод '!GV109+'Свод '!GX109+'Свод '!HT109+'Свод '!HV109</f>
        <v>293</v>
      </c>
      <c r="AM109" s="42">
        <f>'Свод '!AG109+'Свод '!AK109+'Свод '!BC109+'Свод '!CC109+'Свод '!CE109+'Свод '!EO109+'Свод '!FE109+'Свод '!FG109+'Свод '!GK109+'Свод '!GM109+'Свод '!GO109+'Свод '!GQ109+'Свод '!GS109+'Свод '!GU109+'Свод '!GW109+'Свод '!GY109+'Свод '!HU109+'Свод '!HW109</f>
        <v>219.566</v>
      </c>
      <c r="AN109" s="42">
        <f>'Свод '!J109+'Свод '!L109+'Свод '!N109+'Свод '!P109+'Свод '!R109+'Свод '!T109+'Свод '!V109+'Свод '!X109+'Свод '!Z109+'Свод '!AR109+'Свод '!AT109+'Свод '!AV109+'Свод '!AX109+'Свод '!DD109+'Свод '!EP109+'Свод '!ER109+'Свод '!ET109+'Свод '!EV109+'Свод '!EX109+'Свод '!EZ109+'Свод '!GZ109+'Свод '!HB109+T109+V109+Z109+AB109</f>
        <v>4688.26443</v>
      </c>
      <c r="AO109" s="42">
        <f>'Свод '!K109+'Свод '!M109+'Свод '!O109+'Свод '!Q109+'Свод '!S109+'Свод '!U109+'Свод '!W109+'Свод '!Y109+'Свод '!AA109+'Свод '!AS109+'Свод '!AU109+'Свод '!AW109+'Свод '!AY109+'Свод '!DE109+'Свод '!EQ109+'Свод '!ES109+'Свод '!EU109+'Свод '!EW109+'Свод '!EY109+'Свод '!FA109+'Свод '!HA109+'Свод '!HC109+U109+W109+AA109+AC109</f>
        <v>4688.26443</v>
      </c>
    </row>
    <row r="110" spans="1:41" ht="12.75" customHeight="1">
      <c r="A110" s="111" t="s">
        <v>218</v>
      </c>
      <c r="B110" s="104"/>
      <c r="C110" s="42"/>
      <c r="D110" s="40"/>
      <c r="E110" s="40"/>
      <c r="F110" s="43">
        <v>83</v>
      </c>
      <c r="G110" s="42">
        <v>78.57</v>
      </c>
      <c r="H110" s="40"/>
      <c r="I110" s="40"/>
      <c r="J110" s="112"/>
      <c r="K110" s="42"/>
      <c r="L110" s="40"/>
      <c r="M110" s="40"/>
      <c r="N110" s="40"/>
      <c r="O110" s="40"/>
      <c r="P110" s="40"/>
      <c r="Q110" s="40"/>
      <c r="R110" s="42">
        <f t="shared" si="8"/>
        <v>83</v>
      </c>
      <c r="S110" s="42">
        <f t="shared" si="9"/>
        <v>78.57</v>
      </c>
      <c r="T110" s="42"/>
      <c r="U110" s="42"/>
      <c r="V110" s="40"/>
      <c r="W110" s="40"/>
      <c r="X110" s="42">
        <f t="shared" si="10"/>
        <v>0</v>
      </c>
      <c r="Y110" s="42">
        <f t="shared" si="11"/>
        <v>0</v>
      </c>
      <c r="Z110" s="42"/>
      <c r="AA110" s="42"/>
      <c r="AB110" s="40"/>
      <c r="AC110" s="40"/>
      <c r="AD110" s="42">
        <f t="shared" si="12"/>
        <v>0</v>
      </c>
      <c r="AE110" s="42">
        <f t="shared" si="13"/>
        <v>0</v>
      </c>
      <c r="AF110" s="42">
        <f>'Свод '!AH110+'Свод '!AZ110+'Свод '!BB110+'Свод '!CF110+'Свод '!DF110+'Свод '!DJ110+'Свод '!DP110+'Свод '!FB110+'Свод '!FH110+'Свод '!HD110+'Свод '!HP110+'Свод '!HX110+Лист1!R110+Лист1!AD110+X110</f>
        <v>6726.642</v>
      </c>
      <c r="AG110" s="42">
        <f>'Свод '!AI110+'Свод '!BA110+'Свод '!BC110+'Свод '!CG110+'Свод '!DG110+'Свод '!DK110+'Свод '!DQ110+'Свод '!FC110+'Свод '!FI110+'Свод '!HE110+'Свод '!HQ110+'Свод '!HY110+Лист1!S110+Лист1!AE110+Y110</f>
        <v>6722.2119999999995</v>
      </c>
      <c r="AH110" s="42">
        <f>'Свод '!B110+'Свод '!D110+'Свод '!F110+'Свод '!H110</f>
        <v>2404.0000000000005</v>
      </c>
      <c r="AI110" s="42">
        <f>'Свод '!C110+'Свод '!E110+'Свод '!G110+'Свод '!I110</f>
        <v>2404.0000000000005</v>
      </c>
      <c r="AJ110" s="39">
        <f>'Свод '!AB110+'Свод '!AD110+'Свод '!AL110+'Свод '!AN110+'Свод '!AP110+'Свод '!BD110+'Свод '!BF110+'Свод '!BH110+'Свод '!BJ110+'Свод '!BL110+'Свод '!BN110+'Свод '!BP110+'Свод '!BR110+'Свод '!BT110+'Свод '!BV110+'Свод '!BX110+'Свод '!BZ110+'Свод '!CH110+'Свод '!CJ110+'Свод '!CL110+'Свод '!CN110+'Свод '!CP110+'Свод '!CR110+'Свод '!CT110+'Свод '!CV110+'Свод '!CX110+'Свод '!CZ110+'Свод '!DB110+'Свод '!DH110+'Свод '!DN110+'Свод '!DR110+'Свод '!DT110+'Свод '!DV110+'Свод '!DX110+'Свод '!DZ110+'Свод '!EB110+'Свод '!ED110+'Свод '!EF110+'Свод '!EH110+'Свод '!EJ110+'Свод '!EL110+'Свод '!FJ110+'Свод '!FL110+'Свод '!FN110+'Свод '!FP110+'Свод '!FR110+'Свод '!FT110+'Свод '!FV110+'Свод '!FX110+'Свод '!FZ110+'Свод '!GB110+'Свод '!GD110+'Свод '!GF110+'Свод '!GH110+'Свод '!HF110+'Свод '!HH110+'Свод '!HJ110+'Свод '!HL110+'Свод '!HN110+'Свод '!HR110+Лист1!B110+Лист1!D110+Лист1!F110+Лист1!H110+Лист1!J110+Лист1!L110+Лист1!N110+Лист1!P110+'Свод '!DL110</f>
        <v>1853.642</v>
      </c>
      <c r="AK110" s="39">
        <f>'Свод '!AC110+'Свод '!AE110+'Свод '!AM110+'Свод '!AO110+'Свод '!AQ110+'Свод '!BE110+'Свод '!BG110+'Свод '!BI110+'Свод '!BK110+'Свод '!BM110+'Свод '!BO110+'Свод '!BQ110+'Свод '!BS110+'Свод '!BU110+'Свод '!BW110+'Свод '!BY110+'Свод '!CA110+'Свод '!CI110+'Свод '!CK110+'Свод '!CM110+'Свод '!CO110+'Свод '!CQ110+'Свод '!CS110+'Свод '!CU110+'Свод '!CW110+'Свод '!CY110+'Свод '!DA110+'Свод '!DC110+'Свод '!DI110+'Свод '!DO110+'Свод '!DS110+'Свод '!DU110+'Свод '!DW110+'Свод '!DY110+'Свод '!EA110+'Свод '!EC110+'Свод '!EE110+'Свод '!EG110+'Свод '!EI110+'Свод '!EK110+'Свод '!EM110+'Свод '!FK110+'Свод '!FM110+'Свод '!FO110+'Свод '!FQ110+'Свод '!FS110+'Свод '!FU110+'Свод '!FW110+'Свод '!FY110+'Свод '!GA110+'Свод '!GC110+'Свод '!GE110+'Свод '!GG110+'Свод '!GI110+'Свод '!HG110+'Свод '!HI110+'Свод '!HK110+'Свод '!HM110+'Свод '!HO110+'Свод '!HS110+Лист1!C110+Лист1!E110+Лист1!G110+Лист1!I110+Лист1!K110+Лист1!M110+Лист1!O110+Лист1!Q110+'Свод '!DM110</f>
        <v>1849.212</v>
      </c>
      <c r="AL110" s="144">
        <f>'Свод '!AF110+'Свод '!AJ110+'Свод '!BB110+'Свод '!CB110+'Свод '!CD110+'Свод '!EN110+'Свод '!FD110+'Свод '!FF110+'Свод '!GJ110+'Свод '!GL110+'Свод '!GN110+'Свод '!GP110+'Свод '!GR110+'Свод '!GT110+'Свод '!GV110+'Свод '!GX110+'Свод '!HT110+'Свод '!HV110</f>
        <v>439</v>
      </c>
      <c r="AM110" s="42">
        <f>'Свод '!AG110+'Свод '!AK110+'Свод '!BC110+'Свод '!CC110+'Свод '!CE110+'Свод '!EO110+'Свод '!FE110+'Свод '!FG110+'Свод '!GK110+'Свод '!GM110+'Свод '!GO110+'Свод '!GQ110+'Свод '!GS110+'Свод '!GU110+'Свод '!GW110+'Свод '!GY110+'Свод '!HU110+'Свод '!HW110</f>
        <v>438.99999999999994</v>
      </c>
      <c r="AN110" s="42">
        <f>'Свод '!J110+'Свод '!L110+'Свод '!N110+'Свод '!P110+'Свод '!R110+'Свод '!T110+'Свод '!V110+'Свод '!X110+'Свод '!Z110+'Свод '!AR110+'Свод '!AT110+'Свод '!AV110+'Свод '!AX110+'Свод '!DD110+'Свод '!EP110+'Свод '!ER110+'Свод '!ET110+'Свод '!EV110+'Свод '!EX110+'Свод '!EZ110+'Свод '!GZ110+'Свод '!HB110+T110+V110+Z110+AB110</f>
        <v>2030</v>
      </c>
      <c r="AO110" s="42">
        <f>'Свод '!K110+'Свод '!M110+'Свод '!O110+'Свод '!Q110+'Свод '!S110+'Свод '!U110+'Свод '!W110+'Свод '!Y110+'Свод '!AA110+'Свод '!AS110+'Свод '!AU110+'Свод '!AW110+'Свод '!AY110+'Свод '!DE110+'Свод '!EQ110+'Свод '!ES110+'Свод '!EU110+'Свод '!EW110+'Свод '!EY110+'Свод '!FA110+'Свод '!HA110+'Свод '!HC110+U110+W110+AA110+AC110</f>
        <v>2030</v>
      </c>
    </row>
    <row r="111" spans="1:41" ht="12.75">
      <c r="A111" s="111" t="s">
        <v>266</v>
      </c>
      <c r="B111" s="104"/>
      <c r="C111" s="42"/>
      <c r="D111" s="40"/>
      <c r="E111" s="40"/>
      <c r="F111" s="43"/>
      <c r="G111" s="46"/>
      <c r="H111" s="40"/>
      <c r="I111" s="40"/>
      <c r="J111" s="112"/>
      <c r="K111" s="42"/>
      <c r="L111" s="40"/>
      <c r="M111" s="40"/>
      <c r="N111" s="40"/>
      <c r="O111" s="40"/>
      <c r="P111" s="40"/>
      <c r="Q111" s="40"/>
      <c r="R111" s="42">
        <f t="shared" si="8"/>
        <v>0</v>
      </c>
      <c r="S111" s="42">
        <f t="shared" si="9"/>
        <v>0</v>
      </c>
      <c r="T111" s="42"/>
      <c r="U111" s="42"/>
      <c r="V111" s="40"/>
      <c r="W111" s="40"/>
      <c r="X111" s="42">
        <f t="shared" si="10"/>
        <v>0</v>
      </c>
      <c r="Y111" s="42">
        <f t="shared" si="11"/>
        <v>0</v>
      </c>
      <c r="Z111" s="42"/>
      <c r="AA111" s="42"/>
      <c r="AB111" s="40"/>
      <c r="AC111" s="40"/>
      <c r="AD111" s="42">
        <f t="shared" si="12"/>
        <v>0</v>
      </c>
      <c r="AE111" s="42">
        <f t="shared" si="13"/>
        <v>0</v>
      </c>
      <c r="AF111" s="42">
        <f>'Свод '!AH111+'Свод '!AZ111+'Свод '!BB111+'Свод '!CF111+'Свод '!DF111+'Свод '!DJ111+'Свод '!DP111+'Свод '!FB111+'Свод '!FH111+'Свод '!HD111+'Свод '!HP111+'Свод '!HX111+Лист1!R111+Лист1!AD111+X111</f>
        <v>6974.39697</v>
      </c>
      <c r="AG111" s="42">
        <f>'Свод '!AI111+'Свод '!BA111+'Свод '!BC111+'Свод '!CG111+'Свод '!DG111+'Свод '!DK111+'Свод '!DQ111+'Свод '!FC111+'Свод '!FI111+'Свод '!HE111+'Свод '!HQ111+'Свод '!HY111+Лист1!S111+Лист1!AE111+Y111</f>
        <v>6557.589209999999</v>
      </c>
      <c r="AH111" s="42">
        <f>'Свод '!B111+'Свод '!D111+'Свод '!F111+'Свод '!H111</f>
        <v>4528</v>
      </c>
      <c r="AI111" s="42">
        <f>'Свод '!C111+'Свод '!E111+'Свод '!G111+'Свод '!I111</f>
        <v>4528</v>
      </c>
      <c r="AJ111" s="39">
        <f>'Свод '!AB111+'Свод '!AD111+'Свод '!AL111+'Свод '!AN111+'Свод '!AP111+'Свод '!BD111+'Свод '!BF111+'Свод '!BH111+'Свод '!BJ111+'Свод '!BL111+'Свод '!BN111+'Свод '!BP111+'Свод '!BR111+'Свод '!BT111+'Свод '!BV111+'Свод '!BX111+'Свод '!BZ111+'Свод '!CH111+'Свод '!CJ111+'Свод '!CL111+'Свод '!CN111+'Свод '!CP111+'Свод '!CR111+'Свод '!CT111+'Свод '!CV111+'Свод '!CX111+'Свод '!CZ111+'Свод '!DB111+'Свод '!DH111+'Свод '!DN111+'Свод '!DR111+'Свод '!DT111+'Свод '!DV111+'Свод '!DX111+'Свод '!DZ111+'Свод '!EB111+'Свод '!ED111+'Свод '!EF111+'Свод '!EH111+'Свод '!EJ111+'Свод '!EL111+'Свод '!FJ111+'Свод '!FL111+'Свод '!FN111+'Свод '!FP111+'Свод '!FR111+'Свод '!FT111+'Свод '!FV111+'Свод '!FX111+'Свод '!FZ111+'Свод '!GB111+'Свод '!GD111+'Свод '!GF111+'Свод '!GH111+'Свод '!HF111+'Свод '!HH111+'Свод '!HJ111+'Свод '!HL111+'Свод '!HN111+'Свод '!HR111+Лист1!B111+Лист1!D111+Лист1!F111+Лист1!H111+Лист1!J111+Лист1!L111+Лист1!N111+Лист1!P111+'Свод '!DL111</f>
        <v>1846</v>
      </c>
      <c r="AK111" s="39">
        <f>'Свод '!AC111+'Свод '!AE111+'Свод '!AM111+'Свод '!AO111+'Свод '!AQ111+'Свод '!BE111+'Свод '!BG111+'Свод '!BI111+'Свод '!BK111+'Свод '!BM111+'Свод '!BO111+'Свод '!BQ111+'Свод '!BS111+'Свод '!BU111+'Свод '!BW111+'Свод '!BY111+'Свод '!CA111+'Свод '!CI111+'Свод '!CK111+'Свод '!CM111+'Свод '!CO111+'Свод '!CQ111+'Свод '!CS111+'Свод '!CU111+'Свод '!CW111+'Свод '!CY111+'Свод '!DA111+'Свод '!DC111+'Свод '!DI111+'Свод '!DO111+'Свод '!DS111+'Свод '!DU111+'Свод '!DW111+'Свод '!DY111+'Свод '!EA111+'Свод '!EC111+'Свод '!EE111+'Свод '!EG111+'Свод '!EI111+'Свод '!EK111+'Свод '!EM111+'Свод '!FK111+'Свод '!FM111+'Свод '!FO111+'Свод '!FQ111+'Свод '!FS111+'Свод '!FU111+'Свод '!FW111+'Свод '!FY111+'Свод '!GA111+'Свод '!GC111+'Свод '!GE111+'Свод '!GG111+'Свод '!GI111+'Свод '!HG111+'Свод '!HI111+'Свод '!HK111+'Свод '!HM111+'Свод '!HO111+'Свод '!HS111+Лист1!C111+Лист1!E111+Лист1!G111+Лист1!I111+Лист1!K111+Лист1!M111+Лист1!O111+Лист1!Q111+'Свод '!DM111</f>
        <v>1429.673</v>
      </c>
      <c r="AL111" s="144">
        <f>'Свод '!AF111+'Свод '!AJ111+'Свод '!BB111+'Свод '!CB111+'Свод '!CD111+'Свод '!EN111+'Свод '!FD111+'Свод '!FF111+'Свод '!GJ111+'Свод '!GL111+'Свод '!GN111+'Свод '!GP111+'Свод '!GR111+'Свод '!GT111+'Свод '!GV111+'Свод '!GX111+'Свод '!HT111+'Свод '!HV111</f>
        <v>147</v>
      </c>
      <c r="AM111" s="42">
        <f>'Свод '!AG111+'Свод '!AK111+'Свод '!BC111+'Свод '!CC111+'Свод '!CE111+'Свод '!EO111+'Свод '!FE111+'Свод '!FG111+'Свод '!GK111+'Свод '!GM111+'Свод '!GO111+'Свод '!GQ111+'Свод '!GS111+'Свод '!GU111+'Свод '!GW111+'Свод '!GY111+'Свод '!HU111+'Свод '!HW111</f>
        <v>147.00000000000003</v>
      </c>
      <c r="AN111" s="42">
        <f>'Свод '!J111+'Свод '!L111+'Свод '!N111+'Свод '!P111+'Свод '!R111+'Свод '!T111+'Свод '!V111+'Свод '!X111+'Свод '!Z111+'Свод '!AR111+'Свод '!AT111+'Свод '!AV111+'Свод '!AX111+'Свод '!DD111+'Свод '!EP111+'Свод '!ER111+'Свод '!ET111+'Свод '!EV111+'Свод '!EX111+'Свод '!EZ111+'Свод '!GZ111+'Свод '!HB111+T111+V111+Z111+AB111</f>
        <v>453.39697</v>
      </c>
      <c r="AO111" s="42">
        <f>'Свод '!K111+'Свод '!M111+'Свод '!O111+'Свод '!Q111+'Свод '!S111+'Свод '!U111+'Свод '!W111+'Свод '!Y111+'Свод '!AA111+'Свод '!AS111+'Свод '!AU111+'Свод '!AW111+'Свод '!AY111+'Свод '!DE111+'Свод '!EQ111+'Свод '!ES111+'Свод '!EU111+'Свод '!EW111+'Свод '!EY111+'Свод '!FA111+'Свод '!HA111+'Свод '!HC111+U111+W111+AA111+AC111</f>
        <v>452.91621</v>
      </c>
    </row>
    <row r="112" spans="1:41" ht="12.75" customHeight="1">
      <c r="A112" s="111" t="s">
        <v>267</v>
      </c>
      <c r="B112" s="104"/>
      <c r="C112" s="42"/>
      <c r="D112" s="40"/>
      <c r="E112" s="40"/>
      <c r="F112" s="43"/>
      <c r="G112" s="46"/>
      <c r="H112" s="40"/>
      <c r="I112" s="40"/>
      <c r="J112" s="112"/>
      <c r="K112" s="42"/>
      <c r="L112" s="40"/>
      <c r="M112" s="40"/>
      <c r="N112" s="40"/>
      <c r="O112" s="40"/>
      <c r="P112" s="40"/>
      <c r="Q112" s="40"/>
      <c r="R112" s="42">
        <f t="shared" si="8"/>
        <v>0</v>
      </c>
      <c r="S112" s="42">
        <f t="shared" si="9"/>
        <v>0</v>
      </c>
      <c r="T112" s="42"/>
      <c r="U112" s="42"/>
      <c r="V112" s="40"/>
      <c r="W112" s="40"/>
      <c r="X112" s="42">
        <f t="shared" si="10"/>
        <v>0</v>
      </c>
      <c r="Y112" s="42">
        <f t="shared" si="11"/>
        <v>0</v>
      </c>
      <c r="Z112" s="42"/>
      <c r="AA112" s="42"/>
      <c r="AB112" s="40"/>
      <c r="AC112" s="40"/>
      <c r="AD112" s="42">
        <f t="shared" si="12"/>
        <v>0</v>
      </c>
      <c r="AE112" s="42">
        <f t="shared" si="13"/>
        <v>0</v>
      </c>
      <c r="AF112" s="42">
        <f>'Свод '!AH112+'Свод '!AZ112+'Свод '!BB112+'Свод '!CF112+'Свод '!DF112+'Свод '!DJ112+'Свод '!DP112+'Свод '!FB112+'Свод '!FH112+'Свод '!HD112+'Свод '!HP112+'Свод '!HX112+Лист1!R112+Лист1!AD112+X112</f>
        <v>5682</v>
      </c>
      <c r="AG112" s="42">
        <f>'Свод '!AI112+'Свод '!BA112+'Свод '!BC112+'Свод '!CG112+'Свод '!DG112+'Свод '!DK112+'Свод '!DQ112+'Свод '!FC112+'Свод '!FI112+'Свод '!HE112+'Свод '!HQ112+'Свод '!HY112+Лист1!S112+Лист1!AE112+Y112</f>
        <v>5282</v>
      </c>
      <c r="AH112" s="42">
        <f>'Свод '!B112+'Свод '!D112+'Свод '!F112+'Свод '!H112</f>
        <v>5135</v>
      </c>
      <c r="AI112" s="42">
        <f>'Свод '!C112+'Свод '!E112+'Свод '!G112+'Свод '!I112</f>
        <v>5135</v>
      </c>
      <c r="AJ112" s="39">
        <f>'Свод '!AB112+'Свод '!AD112+'Свод '!AL112+'Свод '!AN112+'Свод '!AP112+'Свод '!BD112+'Свод '!BF112+'Свод '!BH112+'Свод '!BJ112+'Свод '!BL112+'Свод '!BN112+'Свод '!BP112+'Свод '!BR112+'Свод '!BT112+'Свод '!BV112+'Свод '!BX112+'Свод '!BZ112+'Свод '!CH112+'Свод '!CJ112+'Свод '!CL112+'Свод '!CN112+'Свод '!CP112+'Свод '!CR112+'Свод '!CT112+'Свод '!CV112+'Свод '!CX112+'Свод '!CZ112+'Свод '!DB112+'Свод '!DH112+'Свод '!DN112+'Свод '!DR112+'Свод '!DT112+'Свод '!DV112+'Свод '!DX112+'Свод '!DZ112+'Свод '!EB112+'Свод '!ED112+'Свод '!EF112+'Свод '!EH112+'Свод '!EJ112+'Свод '!EL112+'Свод '!FJ112+'Свод '!FL112+'Свод '!FN112+'Свод '!FP112+'Свод '!FR112+'Свод '!FT112+'Свод '!FV112+'Свод '!FX112+'Свод '!FZ112+'Свод '!GB112+'Свод '!GD112+'Свод '!GF112+'Свод '!GH112+'Свод '!HF112+'Свод '!HH112+'Свод '!HJ112+'Свод '!HL112+'Свод '!HN112+'Свод '!HR112+Лист1!B112+Лист1!D112+Лист1!F112+Лист1!H112+Лист1!J112+Лист1!L112+Лист1!N112+Лист1!P112+'Свод '!DL112</f>
        <v>400</v>
      </c>
      <c r="AK112" s="39">
        <f>'Свод '!AC112+'Свод '!AE112+'Свод '!AM112+'Свод '!AO112+'Свод '!AQ112+'Свод '!BE112+'Свод '!BG112+'Свод '!BI112+'Свод '!BK112+'Свод '!BM112+'Свод '!BO112+'Свод '!BQ112+'Свод '!BS112+'Свод '!BU112+'Свод '!BW112+'Свод '!BY112+'Свод '!CA112+'Свод '!CI112+'Свод '!CK112+'Свод '!CM112+'Свод '!CO112+'Свод '!CQ112+'Свод '!CS112+'Свод '!CU112+'Свод '!CW112+'Свод '!CY112+'Свод '!DA112+'Свод '!DC112+'Свод '!DI112+'Свод '!DO112+'Свод '!DS112+'Свод '!DU112+'Свод '!DW112+'Свод '!DY112+'Свод '!EA112+'Свод '!EC112+'Свод '!EE112+'Свод '!EG112+'Свод '!EI112+'Свод '!EK112+'Свод '!EM112+'Свод '!FK112+'Свод '!FM112+'Свод '!FO112+'Свод '!FQ112+'Свод '!FS112+'Свод '!FU112+'Свод '!FW112+'Свод '!FY112+'Свод '!GA112+'Свод '!GC112+'Свод '!GE112+'Свод '!GG112+'Свод '!GI112+'Свод '!HG112+'Свод '!HI112+'Свод '!HK112+'Свод '!HM112+'Свод '!HO112+'Свод '!HS112+Лист1!C112+Лист1!E112+Лист1!G112+Лист1!I112+Лист1!K112+Лист1!M112+Лист1!O112+Лист1!Q112+'Свод '!DM112</f>
        <v>0</v>
      </c>
      <c r="AL112" s="144">
        <f>'Свод '!AF112+'Свод '!AJ112+'Свод '!BB112+'Свод '!CB112+'Свод '!CD112+'Свод '!EN112+'Свод '!FD112+'Свод '!FF112+'Свод '!GJ112+'Свод '!GL112+'Свод '!GN112+'Свод '!GP112+'Свод '!GR112+'Свод '!GT112+'Свод '!GV112+'Свод '!GX112+'Свод '!HT112+'Свод '!HV112</f>
        <v>147</v>
      </c>
      <c r="AM112" s="42">
        <f>'Свод '!AG112+'Свод '!AK112+'Свод '!BC112+'Свод '!CC112+'Свод '!CE112+'Свод '!EO112+'Свод '!FE112+'Свод '!FG112+'Свод '!GK112+'Свод '!GM112+'Свод '!GO112+'Свод '!GQ112+'Свод '!GS112+'Свод '!GU112+'Свод '!GW112+'Свод '!GY112+'Свод '!HU112+'Свод '!HW112</f>
        <v>147</v>
      </c>
      <c r="AN112" s="42">
        <f>'Свод '!J112+'Свод '!L112+'Свод '!N112+'Свод '!P112+'Свод '!R112+'Свод '!T112+'Свод '!V112+'Свод '!X112+'Свод '!Z112+'Свод '!AR112+'Свод '!AT112+'Свод '!AV112+'Свод '!AX112+'Свод '!DD112+'Свод '!EP112+'Свод '!ER112+'Свод '!ET112+'Свод '!EV112+'Свод '!EX112+'Свод '!EZ112+'Свод '!GZ112+'Свод '!HB112+T112+V112+Z112+AB112</f>
        <v>0</v>
      </c>
      <c r="AO112" s="42">
        <f>'Свод '!K112+'Свод '!M112+'Свод '!O112+'Свод '!Q112+'Свод '!S112+'Свод '!U112+'Свод '!W112+'Свод '!Y112+'Свод '!AA112+'Свод '!AS112+'Свод '!AU112+'Свод '!AW112+'Свод '!AY112+'Свод '!DE112+'Свод '!EQ112+'Свод '!ES112+'Свод '!EU112+'Свод '!EW112+'Свод '!EY112+'Свод '!FA112+'Свод '!HA112+'Свод '!HC112+U112+W112+AA112+AC112</f>
        <v>0</v>
      </c>
    </row>
    <row r="113" spans="1:41" ht="12.75">
      <c r="A113" s="111" t="s">
        <v>268</v>
      </c>
      <c r="B113" s="104"/>
      <c r="C113" s="42"/>
      <c r="D113" s="40"/>
      <c r="E113" s="40"/>
      <c r="F113" s="43"/>
      <c r="G113" s="46"/>
      <c r="H113" s="40"/>
      <c r="I113" s="40"/>
      <c r="J113" s="112"/>
      <c r="K113" s="42"/>
      <c r="L113" s="40"/>
      <c r="M113" s="40"/>
      <c r="N113" s="40"/>
      <c r="O113" s="40"/>
      <c r="P113" s="40"/>
      <c r="Q113" s="40"/>
      <c r="R113" s="42">
        <f t="shared" si="8"/>
        <v>0</v>
      </c>
      <c r="S113" s="42">
        <f t="shared" si="9"/>
        <v>0</v>
      </c>
      <c r="T113" s="42"/>
      <c r="U113" s="42"/>
      <c r="V113" s="40"/>
      <c r="W113" s="40"/>
      <c r="X113" s="42">
        <f t="shared" si="10"/>
        <v>0</v>
      </c>
      <c r="Y113" s="42">
        <f t="shared" si="11"/>
        <v>0</v>
      </c>
      <c r="Z113" s="42"/>
      <c r="AA113" s="42"/>
      <c r="AB113" s="40"/>
      <c r="AC113" s="40"/>
      <c r="AD113" s="42">
        <f t="shared" si="12"/>
        <v>0</v>
      </c>
      <c r="AE113" s="42">
        <f t="shared" si="13"/>
        <v>0</v>
      </c>
      <c r="AF113" s="42">
        <f>'Свод '!AH113+'Свод '!AZ113+'Свод '!BB113+'Свод '!CF113+'Свод '!DF113+'Свод '!DJ113+'Свод '!DP113+'Свод '!FB113+'Свод '!FH113+'Свод '!HD113+'Свод '!HP113+'Свод '!HX113+Лист1!R113+Лист1!AD113+X113</f>
        <v>7154</v>
      </c>
      <c r="AG113" s="42">
        <f>'Свод '!AI113+'Свод '!BA113+'Свод '!BC113+'Свод '!CG113+'Свод '!DG113+'Свод '!DK113+'Свод '!DQ113+'Свод '!FC113+'Свод '!FI113+'Свод '!HE113+'Свод '!HQ113+'Свод '!HY113+Лист1!S113+Лист1!AE113+Y113</f>
        <v>7130.80044</v>
      </c>
      <c r="AH113" s="42">
        <f>'Свод '!B113+'Свод '!D113+'Свод '!F113+'Свод '!H113</f>
        <v>7007</v>
      </c>
      <c r="AI113" s="42">
        <f>'Свод '!C113+'Свод '!E113+'Свод '!G113+'Свод '!I113</f>
        <v>7007</v>
      </c>
      <c r="AJ113" s="39">
        <f>'Свод '!AB113+'Свод '!AD113+'Свод '!AL113+'Свод '!AN113+'Свод '!AP113+'Свод '!BD113+'Свод '!BF113+'Свод '!BH113+'Свод '!BJ113+'Свод '!BL113+'Свод '!BN113+'Свод '!BP113+'Свод '!BR113+'Свод '!BT113+'Свод '!BV113+'Свод '!BX113+'Свод '!BZ113+'Свод '!CH113+'Свод '!CJ113+'Свод '!CL113+'Свод '!CN113+'Свод '!CP113+'Свод '!CR113+'Свод '!CT113+'Свод '!CV113+'Свод '!CX113+'Свод '!CZ113+'Свод '!DB113+'Свод '!DH113+'Свод '!DN113+'Свод '!DR113+'Свод '!DT113+'Свод '!DV113+'Свод '!DX113+'Свод '!DZ113+'Свод '!EB113+'Свод '!ED113+'Свод '!EF113+'Свод '!EH113+'Свод '!EJ113+'Свод '!EL113+'Свод '!FJ113+'Свод '!FL113+'Свод '!FN113+'Свод '!FP113+'Свод '!FR113+'Свод '!FT113+'Свод '!FV113+'Свод '!FX113+'Свод '!FZ113+'Свод '!GB113+'Свод '!GD113+'Свод '!GF113+'Свод '!GH113+'Свод '!HF113+'Свод '!HH113+'Свод '!HJ113+'Свод '!HL113+'Свод '!HN113+'Свод '!HR113+Лист1!B113+Лист1!D113+Лист1!F113+Лист1!H113+Лист1!J113+Лист1!L113+Лист1!N113+Лист1!P113+'Свод '!DL113</f>
        <v>0</v>
      </c>
      <c r="AK113" s="39">
        <f>'Свод '!AC113+'Свод '!AE113+'Свод '!AM113+'Свод '!AO113+'Свод '!AQ113+'Свод '!BE113+'Свод '!BG113+'Свод '!BI113+'Свод '!BK113+'Свод '!BM113+'Свод '!BO113+'Свод '!BQ113+'Свод '!BS113+'Свод '!BU113+'Свод '!BW113+'Свод '!BY113+'Свод '!CA113+'Свод '!CI113+'Свод '!CK113+'Свод '!CM113+'Свод '!CO113+'Свод '!CQ113+'Свод '!CS113+'Свод '!CU113+'Свод '!CW113+'Свод '!CY113+'Свод '!DA113+'Свод '!DC113+'Свод '!DI113+'Свод '!DO113+'Свод '!DS113+'Свод '!DU113+'Свод '!DW113+'Свод '!DY113+'Свод '!EA113+'Свод '!EC113+'Свод '!EE113+'Свод '!EG113+'Свод '!EI113+'Свод '!EK113+'Свод '!EM113+'Свод '!FK113+'Свод '!FM113+'Свод '!FO113+'Свод '!FQ113+'Свод '!FS113+'Свод '!FU113+'Свод '!FW113+'Свод '!FY113+'Свод '!GA113+'Свод '!GC113+'Свод '!GE113+'Свод '!GG113+'Свод '!GI113+'Свод '!HG113+'Свод '!HI113+'Свод '!HK113+'Свод '!HM113+'Свод '!HO113+'Свод '!HS113+Лист1!C113+Лист1!E113+Лист1!G113+Лист1!I113+Лист1!K113+Лист1!M113+Лист1!O113+Лист1!Q113+'Свод '!DM113</f>
        <v>0</v>
      </c>
      <c r="AL113" s="144">
        <f>'Свод '!AF113+'Свод '!AJ113+'Свод '!BB113+'Свод '!CB113+'Свод '!CD113+'Свод '!EN113+'Свод '!FD113+'Свод '!FF113+'Свод '!GJ113+'Свод '!GL113+'Свод '!GN113+'Свод '!GP113+'Свод '!GR113+'Свод '!GT113+'Свод '!GV113+'Свод '!GX113+'Свод '!HT113+'Свод '!HV113</f>
        <v>147</v>
      </c>
      <c r="AM113" s="42">
        <f>'Свод '!AG113+'Свод '!AK113+'Свод '!BC113+'Свод '!CC113+'Свод '!CE113+'Свод '!EO113+'Свод '!FE113+'Свод '!FG113+'Свод '!GK113+'Свод '!GM113+'Свод '!GO113+'Свод '!GQ113+'Свод '!GS113+'Свод '!GU113+'Свод '!GW113+'Свод '!GY113+'Свод '!HU113+'Свод '!HW113</f>
        <v>123.80044000000001</v>
      </c>
      <c r="AN113" s="42">
        <f>'Свод '!J113+'Свод '!L113+'Свод '!N113+'Свод '!P113+'Свод '!R113+'Свод '!T113+'Свод '!V113+'Свод '!X113+'Свод '!Z113+'Свод '!AR113+'Свод '!AT113+'Свод '!AV113+'Свод '!AX113+'Свод '!DD113+'Свод '!EP113+'Свод '!ER113+'Свод '!ET113+'Свод '!EV113+'Свод '!EX113+'Свод '!EZ113+'Свод '!GZ113+'Свод '!HB113+T113+V113+Z113+AB113</f>
        <v>0</v>
      </c>
      <c r="AO113" s="42">
        <f>'Свод '!K113+'Свод '!M113+'Свод '!O113+'Свод '!Q113+'Свод '!S113+'Свод '!U113+'Свод '!W113+'Свод '!Y113+'Свод '!AA113+'Свод '!AS113+'Свод '!AU113+'Свод '!AW113+'Свод '!AY113+'Свод '!DE113+'Свод '!EQ113+'Свод '!ES113+'Свод '!EU113+'Свод '!EW113+'Свод '!EY113+'Свод '!FA113+'Свод '!HA113+'Свод '!HC113+U113+W113+AA113+AC113</f>
        <v>0</v>
      </c>
    </row>
    <row r="114" spans="1:41" ht="20.25" customHeight="1">
      <c r="A114" s="108" t="s">
        <v>127</v>
      </c>
      <c r="B114" s="104">
        <v>1305</v>
      </c>
      <c r="C114" s="42">
        <v>1034.928</v>
      </c>
      <c r="D114" s="40">
        <f>SUM(D115:D120)</f>
        <v>0</v>
      </c>
      <c r="E114" s="40">
        <f>SUM(E115:E120)</f>
        <v>0</v>
      </c>
      <c r="F114" s="43">
        <v>21.5</v>
      </c>
      <c r="G114" s="46">
        <v>19.136159999999997</v>
      </c>
      <c r="H114" s="40">
        <f>SUM(H115:H120)</f>
        <v>0</v>
      </c>
      <c r="I114" s="40">
        <f>SUM(I115:I120)</f>
        <v>0</v>
      </c>
      <c r="J114" s="104">
        <v>0</v>
      </c>
      <c r="K114" s="42">
        <v>0</v>
      </c>
      <c r="L114" s="118">
        <v>0</v>
      </c>
      <c r="M114" s="118">
        <v>0</v>
      </c>
      <c r="N114" s="118">
        <f>SUM(N115:N120)</f>
        <v>0</v>
      </c>
      <c r="O114" s="118">
        <f>SUM(O115:O120)</f>
        <v>0</v>
      </c>
      <c r="P114" s="118">
        <f>SUM(P115:P120)</f>
        <v>0</v>
      </c>
      <c r="Q114" s="118">
        <f>SUM(Q115:Q120)</f>
        <v>0</v>
      </c>
      <c r="R114" s="42">
        <f t="shared" si="8"/>
        <v>1326.5</v>
      </c>
      <c r="S114" s="42">
        <f t="shared" si="9"/>
        <v>1054.0641600000001</v>
      </c>
      <c r="T114" s="42">
        <v>0</v>
      </c>
      <c r="U114" s="42">
        <v>0</v>
      </c>
      <c r="V114" s="40">
        <v>0</v>
      </c>
      <c r="W114" s="40">
        <v>0</v>
      </c>
      <c r="X114" s="42">
        <f t="shared" si="10"/>
        <v>0</v>
      </c>
      <c r="Y114" s="42">
        <f t="shared" si="11"/>
        <v>0</v>
      </c>
      <c r="Z114" s="42">
        <v>291.2</v>
      </c>
      <c r="AA114" s="42">
        <v>291.2</v>
      </c>
      <c r="AB114" s="40">
        <v>0</v>
      </c>
      <c r="AC114" s="40">
        <v>0</v>
      </c>
      <c r="AD114" s="42">
        <f t="shared" si="12"/>
        <v>291.2</v>
      </c>
      <c r="AE114" s="42">
        <f t="shared" si="13"/>
        <v>291.2</v>
      </c>
      <c r="AF114" s="42">
        <f>'Свод '!AH114+'Свод '!AZ114+'Свод '!BB114+'Свод '!CF114+'Свод '!DF114+'Свод '!DJ114+'Свод '!DP114+'Свод '!FB114+'Свод '!FH114+'Свод '!HD114+'Свод '!HP114+'Свод '!HX114+Лист1!R114+Лист1!AD114+X114</f>
        <v>401143.99589</v>
      </c>
      <c r="AG114" s="42">
        <f>'Свод '!AI114+'Свод '!BA114+'Свод '!BC114+'Свод '!CG114+'Свод '!DG114+'Свод '!DK114+'Свод '!DQ114+'Свод '!FC114+'Свод '!FI114+'Свод '!HE114+'Свод '!HQ114+'Свод '!HY114+Лист1!S114+Лист1!AE114+Y114</f>
        <v>398197.12652</v>
      </c>
      <c r="AH114" s="42">
        <f>'Свод '!B114+'Свод '!D114+'Свод '!F114+'Свод '!H114</f>
        <v>111835</v>
      </c>
      <c r="AI114" s="42">
        <f>'Свод '!C114+'Свод '!E114+'Свод '!G114+'Свод '!I114</f>
        <v>111835</v>
      </c>
      <c r="AJ114" s="39">
        <f>'Свод '!AB114+'Свод '!AD114+'Свод '!AL114+'Свод '!AN114+'Свод '!AP114+'Свод '!BD114+'Свод '!BF114+'Свод '!BH114+'Свод '!BJ114+'Свод '!BL114+'Свод '!BN114+'Свод '!BP114+'Свод '!BR114+'Свод '!BT114+'Свод '!BV114+'Свод '!BX114+'Свод '!BZ114+'Свод '!CH114+'Свод '!CJ114+'Свод '!CL114+'Свод '!CN114+'Свод '!CP114+'Свод '!CR114+'Свод '!CT114+'Свод '!CV114+'Свод '!CX114+'Свод '!CZ114+'Свод '!DB114+'Свод '!DH114+'Свод '!DN114+'Свод '!DR114+'Свод '!DT114+'Свод '!DV114+'Свод '!DX114+'Свод '!DZ114+'Свод '!EB114+'Свод '!ED114+'Свод '!EF114+'Свод '!EH114+'Свод '!EJ114+'Свод '!EL114+'Свод '!FJ114+'Свод '!FL114+'Свод '!FN114+'Свод '!FP114+'Свод '!FR114+'Свод '!FT114+'Свод '!FV114+'Свод '!FX114+'Свод '!FZ114+'Свод '!GB114+'Свод '!GD114+'Свод '!GF114+'Свод '!GH114+'Свод '!HF114+'Свод '!HH114+'Свод '!HJ114+'Свод '!HL114+'Свод '!HN114+'Свод '!HR114+Лист1!B114+Лист1!D114+Лист1!F114+Лист1!H114+Лист1!J114+Лист1!L114+Лист1!N114+Лист1!P114+'Свод '!DL114</f>
        <v>156844.013</v>
      </c>
      <c r="AK114" s="39">
        <f>'Свод '!AC114+'Свод '!AE114+'Свод '!AM114+'Свод '!AO114+'Свод '!AQ114+'Свод '!BE114+'Свод '!BG114+'Свод '!BI114+'Свод '!BK114+'Свод '!BM114+'Свод '!BO114+'Свод '!BQ114+'Свод '!BS114+'Свод '!BU114+'Свод '!BW114+'Свод '!BY114+'Свод '!CA114+'Свод '!CI114+'Свод '!CK114+'Свод '!CM114+'Свод '!CO114+'Свод '!CQ114+'Свод '!CS114+'Свод '!CU114+'Свод '!CW114+'Свод '!CY114+'Свод '!DA114+'Свод '!DC114+'Свод '!DI114+'Свод '!DO114+'Свод '!DS114+'Свод '!DU114+'Свод '!DW114+'Свод '!DY114+'Свод '!EA114+'Свод '!EC114+'Свод '!EE114+'Свод '!EG114+'Свод '!EI114+'Свод '!EK114+'Свод '!EM114+'Свод '!FK114+'Свод '!FM114+'Свод '!FO114+'Свод '!FQ114+'Свод '!FS114+'Свод '!FU114+'Свод '!FW114+'Свод '!FY114+'Свод '!GA114+'Свод '!GC114+'Свод '!GE114+'Свод '!GG114+'Свод '!GI114+'Свод '!HG114+'Свод '!HI114+'Свод '!HK114+'Свод '!HM114+'Свод '!HO114+'Свод '!HS114+Лист1!C114+Лист1!E114+Лист1!G114+Лист1!I114+Лист1!K114+Лист1!M114+Лист1!O114+Лист1!Q114+'Свод '!DM114</f>
        <v>153910.42752</v>
      </c>
      <c r="AL114" s="144">
        <f>'Свод '!AF114+'Свод '!AJ114+'Свод '!BB114+'Свод '!CB114+'Свод '!CD114+'Свод '!EN114+'Свод '!FD114+'Свод '!FF114+'Свод '!GJ114+'Свод '!GL114+'Свод '!GN114+'Свод '!GP114+'Свод '!GR114+'Свод '!GT114+'Свод '!GV114+'Свод '!GX114+'Свод '!HT114+'Свод '!HV114</f>
        <v>120515.271</v>
      </c>
      <c r="AM114" s="42">
        <f>'Свод '!AG114+'Свод '!AK114+'Свод '!BC114+'Свод '!CC114+'Свод '!CE114+'Свод '!EO114+'Свод '!FE114+'Свод '!FG114+'Свод '!GK114+'Свод '!GM114+'Свод '!GO114+'Свод '!GQ114+'Свод '!GS114+'Свод '!GU114+'Свод '!GW114+'Свод '!GY114+'Свод '!HU114+'Свод '!HW114</f>
        <v>120504.411</v>
      </c>
      <c r="AN114" s="42">
        <f>'Свод '!J114+'Свод '!L114+'Свод '!N114+'Свод '!P114+'Свод '!R114+'Свод '!T114+'Свод '!V114+'Свод '!X114+'Свод '!Z114+'Свод '!AR114+'Свод '!AT114+'Свод '!AV114+'Свод '!AX114+'Свод '!DD114+'Свод '!EP114+'Свод '!ER114+'Свод '!ET114+'Свод '!EV114+'Свод '!EX114+'Свод '!EZ114+'Свод '!GZ114+'Свод '!HB114+T114+V114+Z114+AB114</f>
        <v>11949.71189</v>
      </c>
      <c r="AO114" s="42">
        <f>'Свод '!K114+'Свод '!M114+'Свод '!O114+'Свод '!Q114+'Свод '!S114+'Свод '!U114+'Свод '!W114+'Свод '!Y114+'Свод '!AA114+'Свод '!AS114+'Свод '!AU114+'Свод '!AW114+'Свод '!AY114+'Свод '!DE114+'Свод '!EQ114+'Свод '!ES114+'Свод '!EU114+'Свод '!EW114+'Свод '!EY114+'Свод '!FA114+'Свод '!HA114+'Свод '!HC114+U114+W114+AA114+AC114</f>
        <v>11947.288</v>
      </c>
    </row>
    <row r="115" spans="1:41" ht="12.75">
      <c r="A115" s="103" t="s">
        <v>156</v>
      </c>
      <c r="B115" s="104">
        <v>1305</v>
      </c>
      <c r="C115" s="42">
        <v>1034.928</v>
      </c>
      <c r="D115" s="40"/>
      <c r="E115" s="40"/>
      <c r="F115" s="43">
        <v>18</v>
      </c>
      <c r="G115" s="42">
        <v>16.34416</v>
      </c>
      <c r="H115" s="40"/>
      <c r="I115" s="40"/>
      <c r="J115" s="105"/>
      <c r="K115" s="42"/>
      <c r="L115" s="40"/>
      <c r="M115" s="40"/>
      <c r="N115" s="40"/>
      <c r="O115" s="40"/>
      <c r="P115" s="40"/>
      <c r="Q115" s="40"/>
      <c r="R115" s="42">
        <f t="shared" si="8"/>
        <v>1323</v>
      </c>
      <c r="S115" s="42">
        <f t="shared" si="9"/>
        <v>1051.2721600000002</v>
      </c>
      <c r="T115" s="42"/>
      <c r="U115" s="42"/>
      <c r="V115" s="40"/>
      <c r="W115" s="40"/>
      <c r="X115" s="42">
        <f t="shared" si="10"/>
        <v>0</v>
      </c>
      <c r="Y115" s="42">
        <f t="shared" si="11"/>
        <v>0</v>
      </c>
      <c r="Z115" s="42">
        <v>291.2</v>
      </c>
      <c r="AA115" s="42">
        <v>291.2</v>
      </c>
      <c r="AB115" s="40"/>
      <c r="AC115" s="40"/>
      <c r="AD115" s="42">
        <f t="shared" si="12"/>
        <v>291.2</v>
      </c>
      <c r="AE115" s="42">
        <f t="shared" si="13"/>
        <v>291.2</v>
      </c>
      <c r="AF115" s="42">
        <f>'Свод '!AH115+'Свод '!AZ115+'Свод '!BB115+'Свод '!CF115+'Свод '!DF115+'Свод '!DJ115+'Свод '!DP115+'Свод '!FB115+'Свод '!FH115+'Свод '!HD115+'Свод '!HP115+'Свод '!HX115+Лист1!R115+Лист1!AD115+X115</f>
        <v>382064.304</v>
      </c>
      <c r="AG115" s="42">
        <f>'Свод '!AI115+'Свод '!BA115+'Свод '!BC115+'Свод '!CG115+'Свод '!DG115+'Свод '!DK115+'Свод '!DQ115+'Свод '!FC115+'Свод '!FI115+'Свод '!HE115+'Свод '!HQ115+'Свод '!HY115+Лист1!S115+Лист1!AE115+Y115</f>
        <v>379339.18951999996</v>
      </c>
      <c r="AH115" s="42">
        <f>'Свод '!B115+'Свод '!D115+'Свод '!F115+'Свод '!H115</f>
        <v>98103</v>
      </c>
      <c r="AI115" s="42">
        <f>'Свод '!C115+'Свод '!E115+'Свод '!G115+'Свод '!I115</f>
        <v>98103</v>
      </c>
      <c r="AJ115" s="39">
        <f>'Свод '!AB115+'Свод '!AD115+'Свод '!AL115+'Свод '!AN115+'Свод '!AP115+'Свод '!BD115+'Свод '!BF115+'Свод '!BH115+'Свод '!BJ115+'Свод '!BL115+'Свод '!BN115+'Свод '!BP115+'Свод '!BR115+'Свод '!BT115+'Свод '!BV115+'Свод '!BX115+'Свод '!BZ115+'Свод '!CH115+'Свод '!CJ115+'Свод '!CL115+'Свод '!CN115+'Свод '!CP115+'Свод '!CR115+'Свод '!CT115+'Свод '!CV115+'Свод '!CX115+'Свод '!CZ115+'Свод '!DB115+'Свод '!DH115+'Свод '!DN115+'Свод '!DR115+'Свод '!DT115+'Свод '!DV115+'Свод '!DX115+'Свод '!DZ115+'Свод '!EB115+'Свод '!ED115+'Свод '!EF115+'Свод '!EH115+'Свод '!EJ115+'Свод '!EL115+'Свод '!FJ115+'Свод '!FL115+'Свод '!FN115+'Свод '!FP115+'Свод '!FR115+'Свод '!FT115+'Свод '!FV115+'Свод '!FX115+'Свод '!FZ115+'Свод '!GB115+'Свод '!GD115+'Свод '!GF115+'Свод '!GH115+'Свод '!HF115+'Свод '!HH115+'Свод '!HJ115+'Свод '!HL115+'Свод '!HN115+'Свод '!HR115+Лист1!B115+Лист1!D115+Лист1!F115+Лист1!H115+Лист1!J115+Лист1!L115+Лист1!N115+Лист1!P115+'Свод '!DL115</f>
        <v>154098.733</v>
      </c>
      <c r="AK115" s="39">
        <f>'Свод '!AC115+'Свод '!AE115+'Свод '!AM115+'Свод '!AO115+'Свод '!AQ115+'Свод '!BE115+'Свод '!BG115+'Свод '!BI115+'Свод '!BK115+'Свод '!BM115+'Свод '!BO115+'Свод '!BQ115+'Свод '!BS115+'Свод '!BU115+'Свод '!BW115+'Свод '!BY115+'Свод '!CA115+'Свод '!CI115+'Свод '!CK115+'Свод '!CM115+'Свод '!CO115+'Свод '!CQ115+'Свод '!CS115+'Свод '!CU115+'Свод '!CW115+'Свод '!CY115+'Свод '!DA115+'Свод '!DC115+'Свод '!DI115+'Свод '!DO115+'Свод '!DS115+'Свод '!DU115+'Свод '!DW115+'Свод '!DY115+'Свод '!EA115+'Свод '!EC115+'Свод '!EE115+'Свод '!EG115+'Свод '!EI115+'Свод '!EK115+'Свод '!EM115+'Свод '!FK115+'Свод '!FM115+'Свод '!FO115+'Свод '!FQ115+'Свод '!FS115+'Свод '!FU115+'Свод '!FW115+'Свод '!FY115+'Свод '!GA115+'Свод '!GC115+'Свод '!GE115+'Свод '!GG115+'Свод '!GI115+'Свод '!HG115+'Свод '!HI115+'Свод '!HK115+'Свод '!HM115+'Свод '!HO115+'Свод '!HS115+Лист1!C115+Лист1!E115+Лист1!G115+Лист1!I115+Лист1!K115+Лист1!M115+Лист1!O115+Лист1!Q115+'Свод '!DM115</f>
        <v>151384.47852000003</v>
      </c>
      <c r="AL115" s="144">
        <f>'Свод '!AF115+'Свод '!AJ115+'Свод '!BB115+'Свод '!CB115+'Свод '!CD115+'Свод '!EN115+'Свод '!FD115+'Свод '!FF115+'Свод '!GJ115+'Свод '!GL115+'Свод '!GN115+'Свод '!GP115+'Свод '!GR115+'Свод '!GT115+'Свод '!GV115+'Свод '!GX115+'Свод '!HT115+'Свод '!HV115</f>
        <v>120001.271</v>
      </c>
      <c r="AM115" s="42">
        <f>'Свод '!AG115+'Свод '!AK115+'Свод '!BC115+'Свод '!CC115+'Свод '!CE115+'Свод '!EO115+'Свод '!FE115+'Свод '!FG115+'Свод '!GK115+'Свод '!GM115+'Свод '!GO115+'Свод '!GQ115+'Свод '!GS115+'Свод '!GU115+'Свод '!GW115+'Свод '!GY115+'Свод '!HU115+'Свод '!HW115</f>
        <v>119990.411</v>
      </c>
      <c r="AN115" s="42">
        <f>'Свод '!J115+'Свод '!L115+'Свод '!N115+'Свод '!P115+'Свод '!R115+'Свод '!T115+'Свод '!V115+'Свод '!X115+'Свод '!Z115+'Свод '!AR115+'Свод '!AT115+'Свод '!AV115+'Свод '!AX115+'Свод '!DD115+'Свод '!EP115+'Свод '!ER115+'Свод '!ET115+'Свод '!EV115+'Свод '!EX115+'Свод '!EZ115+'Свод '!GZ115+'Свод '!HB115+T115+V115+Z115+AB115</f>
        <v>9861.300000000001</v>
      </c>
      <c r="AO115" s="42">
        <f>'Свод '!K115+'Свод '!M115+'Свод '!O115+'Свод '!Q115+'Свод '!S115+'Свод '!U115+'Свод '!W115+'Свод '!Y115+'Свод '!AA115+'Свод '!AS115+'Свод '!AU115+'Свод '!AW115+'Свод '!AY115+'Свод '!DE115+'Свод '!EQ115+'Свод '!ES115+'Свод '!EU115+'Свод '!EW115+'Свод '!EY115+'Свод '!FA115+'Свод '!HA115+'Свод '!HC115+U115+W115+AA115+AC115</f>
        <v>9861.300000000001</v>
      </c>
    </row>
    <row r="116" spans="1:41" ht="12.75" customHeight="1">
      <c r="A116" s="109" t="s">
        <v>219</v>
      </c>
      <c r="B116" s="104"/>
      <c r="C116" s="42"/>
      <c r="D116" s="40"/>
      <c r="E116" s="40"/>
      <c r="F116" s="43">
        <v>3.5</v>
      </c>
      <c r="G116" s="42">
        <v>2.792</v>
      </c>
      <c r="H116" s="40"/>
      <c r="I116" s="40"/>
      <c r="J116" s="110"/>
      <c r="K116" s="42"/>
      <c r="L116" s="40"/>
      <c r="M116" s="40"/>
      <c r="N116" s="40"/>
      <c r="O116" s="40"/>
      <c r="P116" s="40"/>
      <c r="Q116" s="40"/>
      <c r="R116" s="42">
        <f t="shared" si="8"/>
        <v>3.5</v>
      </c>
      <c r="S116" s="42">
        <f t="shared" si="9"/>
        <v>2.792</v>
      </c>
      <c r="T116" s="42"/>
      <c r="U116" s="42"/>
      <c r="V116" s="40"/>
      <c r="W116" s="40"/>
      <c r="X116" s="42">
        <f t="shared" si="10"/>
        <v>0</v>
      </c>
      <c r="Y116" s="42">
        <f t="shared" si="11"/>
        <v>0</v>
      </c>
      <c r="Z116" s="42"/>
      <c r="AA116" s="42"/>
      <c r="AB116" s="40"/>
      <c r="AC116" s="40"/>
      <c r="AD116" s="42">
        <f t="shared" si="12"/>
        <v>0</v>
      </c>
      <c r="AE116" s="42">
        <f t="shared" si="13"/>
        <v>0</v>
      </c>
      <c r="AF116" s="42">
        <f>'Свод '!AH116+'Свод '!AZ116+'Свод '!BB116+'Свод '!CF116+'Свод '!DF116+'Свод '!DJ116+'Свод '!DP116+'Свод '!FB116+'Свод '!FH116+'Свод '!HD116+'Свод '!HP116+'Свод '!HX116+Лист1!R116+Лист1!AD116+X116</f>
        <v>5351.42187</v>
      </c>
      <c r="AG116" s="42">
        <f>'Свод '!AI116+'Свод '!BA116+'Свод '!BC116+'Свод '!CG116+'Свод '!DG116+'Свод '!DK116+'Свод '!DQ116+'Свод '!FC116+'Свод '!FI116+'Свод '!HE116+'Свод '!HQ116+'Свод '!HY116+Лист1!S116+Лист1!AE116+Y116</f>
        <v>5314.339980000001</v>
      </c>
      <c r="AH116" s="42">
        <f>'Свод '!B116+'Свод '!D116+'Свод '!F116+'Свод '!H116</f>
        <v>1496</v>
      </c>
      <c r="AI116" s="42">
        <f>'Свод '!C116+'Свод '!E116+'Свод '!G116+'Свод '!I116</f>
        <v>1496</v>
      </c>
      <c r="AJ116" s="39">
        <f>'Свод '!AB116+'Свод '!AD116+'Свод '!AL116+'Свод '!AN116+'Свод '!AP116+'Свод '!BD116+'Свод '!BF116+'Свод '!BH116+'Свод '!BJ116+'Свод '!BL116+'Свод '!BN116+'Свод '!BP116+'Свод '!BR116+'Свод '!BT116+'Свод '!BV116+'Свод '!BX116+'Свод '!BZ116+'Свод '!CH116+'Свод '!CJ116+'Свод '!CL116+'Свод '!CN116+'Свод '!CP116+'Свод '!CR116+'Свод '!CT116+'Свод '!CV116+'Свод '!CX116+'Свод '!CZ116+'Свод '!DB116+'Свод '!DH116+'Свод '!DN116+'Свод '!DR116+'Свод '!DT116+'Свод '!DV116+'Свод '!DX116+'Свод '!DZ116+'Свод '!EB116+'Свод '!ED116+'Свод '!EF116+'Свод '!EH116+'Свод '!EJ116+'Свод '!EL116+'Свод '!FJ116+'Свод '!FL116+'Свод '!FN116+'Свод '!FP116+'Свод '!FR116+'Свод '!FT116+'Свод '!FV116+'Свод '!FX116+'Свод '!FZ116+'Свод '!GB116+'Свод '!GD116+'Свод '!GF116+'Свод '!GH116+'Свод '!HF116+'Свод '!HH116+'Свод '!HJ116+'Свод '!HL116+'Свод '!HN116+'Свод '!HR116+Лист1!B116+Лист1!D116+Лист1!F116+Лист1!H116+Лист1!J116+Лист1!L116+Лист1!N116+Лист1!P116+'Свод '!DL116</f>
        <v>2164.5</v>
      </c>
      <c r="AK116" s="39">
        <f>'Свод '!AC116+'Свод '!AE116+'Свод '!AM116+'Свод '!AO116+'Свод '!AQ116+'Свод '!BE116+'Свод '!BG116+'Свод '!BI116+'Свод '!BK116+'Свод '!BM116+'Свод '!BO116+'Свод '!BQ116+'Свод '!BS116+'Свод '!BU116+'Свод '!BW116+'Свод '!BY116+'Свод '!CA116+'Свод '!CI116+'Свод '!CK116+'Свод '!CM116+'Свод '!CO116+'Свод '!CQ116+'Свод '!CS116+'Свод '!CU116+'Свод '!CW116+'Свод '!CY116+'Свод '!DA116+'Свод '!DC116+'Свод '!DI116+'Свод '!DO116+'Свод '!DS116+'Свод '!DU116+'Свод '!DW116+'Свод '!DY116+'Свод '!EA116+'Свод '!EC116+'Свод '!EE116+'Свод '!EG116+'Свод '!EI116+'Свод '!EK116+'Свод '!EM116+'Свод '!FK116+'Свод '!FM116+'Свод '!FO116+'Свод '!FQ116+'Свод '!FS116+'Свод '!FU116+'Свод '!FW116+'Свод '!FY116+'Свод '!GA116+'Свод '!GC116+'Свод '!GE116+'Свод '!GG116+'Свод '!GI116+'Свод '!HG116+'Свод '!HI116+'Свод '!HK116+'Свод '!HM116+'Свод '!HO116+'Свод '!HS116+Лист1!C116+Лист1!E116+Лист1!G116+Лист1!I116+Лист1!K116+Лист1!M116+Лист1!O116+Лист1!Q116+'Свод '!DM116</f>
        <v>2129.842</v>
      </c>
      <c r="AL116" s="144">
        <f>'Свод '!AF116+'Свод '!AJ116+'Свод '!BB116+'Свод '!CB116+'Свод '!CD116+'Свод '!EN116+'Свод '!FD116+'Свод '!FF116+'Свод '!GJ116+'Свод '!GL116+'Свод '!GN116+'Свод '!GP116+'Свод '!GR116+'Свод '!GT116+'Свод '!GV116+'Свод '!GX116+'Свод '!HT116+'Свод '!HV116</f>
        <v>0</v>
      </c>
      <c r="AM116" s="42">
        <f>'Свод '!AG116+'Свод '!AK116+'Свод '!BC116+'Свод '!CC116+'Свод '!CE116+'Свод '!EO116+'Свод '!FE116+'Свод '!FG116+'Свод '!GK116+'Свод '!GM116+'Свод '!GO116+'Свод '!GQ116+'Свод '!GS116+'Свод '!GU116+'Свод '!GW116+'Свод '!GY116+'Свод '!HU116+'Свод '!HW116</f>
        <v>0</v>
      </c>
      <c r="AN116" s="42">
        <f>'Свод '!J116+'Свод '!L116+'Свод '!N116+'Свод '!P116+'Свод '!R116+'Свод '!T116+'Свод '!V116+'Свод '!X116+'Свод '!Z116+'Свод '!AR116+'Свод '!AT116+'Свод '!AV116+'Свод '!AX116+'Свод '!DD116+'Свод '!EP116+'Свод '!ER116+'Свод '!ET116+'Свод '!EV116+'Свод '!EX116+'Свод '!EZ116+'Свод '!GZ116+'Свод '!HB116+T116+V116+Z116+AB116</f>
        <v>1690.92187</v>
      </c>
      <c r="AO116" s="42">
        <f>'Свод '!K116+'Свод '!M116+'Свод '!O116+'Свод '!Q116+'Свод '!S116+'Свод '!U116+'Свод '!W116+'Свод '!Y116+'Свод '!AA116+'Свод '!AS116+'Свод '!AU116+'Свод '!AW116+'Свод '!AY116+'Свод '!DE116+'Свод '!EQ116+'Свод '!ES116+'Свод '!EU116+'Свод '!EW116+'Свод '!EY116+'Свод '!FA116+'Свод '!HA116+'Свод '!HC116+U116+W116+AA116+AC116</f>
        <v>1688.4979799999999</v>
      </c>
    </row>
    <row r="117" spans="1:41" ht="12.75">
      <c r="A117" s="109" t="s">
        <v>269</v>
      </c>
      <c r="B117" s="104"/>
      <c r="C117" s="42"/>
      <c r="D117" s="40"/>
      <c r="E117" s="40"/>
      <c r="F117" s="43"/>
      <c r="G117" s="46"/>
      <c r="H117" s="40"/>
      <c r="I117" s="40"/>
      <c r="J117" s="110"/>
      <c r="K117" s="42"/>
      <c r="L117" s="40"/>
      <c r="M117" s="40"/>
      <c r="N117" s="40"/>
      <c r="O117" s="40"/>
      <c r="P117" s="40"/>
      <c r="Q117" s="40"/>
      <c r="R117" s="42">
        <f t="shared" si="8"/>
        <v>0</v>
      </c>
      <c r="S117" s="42">
        <f t="shared" si="9"/>
        <v>0</v>
      </c>
      <c r="T117" s="42"/>
      <c r="U117" s="42"/>
      <c r="V117" s="40"/>
      <c r="W117" s="40"/>
      <c r="X117" s="42">
        <f t="shared" si="10"/>
        <v>0</v>
      </c>
      <c r="Y117" s="42">
        <f t="shared" si="11"/>
        <v>0</v>
      </c>
      <c r="Z117" s="42"/>
      <c r="AA117" s="42"/>
      <c r="AB117" s="40"/>
      <c r="AC117" s="40"/>
      <c r="AD117" s="42">
        <f t="shared" si="12"/>
        <v>0</v>
      </c>
      <c r="AE117" s="42">
        <f t="shared" si="13"/>
        <v>0</v>
      </c>
      <c r="AF117" s="42">
        <f>'Свод '!AH117+'Свод '!AZ117+'Свод '!BB117+'Свод '!CF117+'Свод '!DF117+'Свод '!DJ117+'Свод '!DP117+'Свод '!FB117+'Свод '!FH117+'Свод '!HD117+'Свод '!HP117+'Свод '!HX117+Лист1!R117+Лист1!AD117+X117</f>
        <v>3379.80634</v>
      </c>
      <c r="AG117" s="42">
        <f>'Свод '!AI117+'Свод '!BA117+'Свод '!BC117+'Свод '!CG117+'Свод '!DG117+'Свод '!DK117+'Свод '!DQ117+'Свод '!FC117+'Свод '!FI117+'Свод '!HE117+'Свод '!HQ117+'Свод '!HY117+Лист1!S117+Лист1!AE117+Y117</f>
        <v>3351.10634</v>
      </c>
      <c r="AH117" s="42">
        <f>'Свод '!B117+'Свод '!D117+'Свод '!F117+'Свод '!H117</f>
        <v>2877</v>
      </c>
      <c r="AI117" s="42">
        <f>'Свод '!C117+'Свод '!E117+'Свод '!G117+'Свод '!I117</f>
        <v>2877</v>
      </c>
      <c r="AJ117" s="39">
        <f>'Свод '!AB117+'Свод '!AD117+'Свод '!AL117+'Свод '!AN117+'Свод '!AP117+'Свод '!BD117+'Свод '!BF117+'Свод '!BH117+'Свод '!BJ117+'Свод '!BL117+'Свод '!BN117+'Свод '!BP117+'Свод '!BR117+'Свод '!BT117+'Свод '!BV117+'Свод '!BX117+'Свод '!BZ117+'Свод '!CH117+'Свод '!CJ117+'Свод '!CL117+'Свод '!CN117+'Свод '!CP117+'Свод '!CR117+'Свод '!CT117+'Свод '!CV117+'Свод '!CX117+'Свод '!CZ117+'Свод '!DB117+'Свод '!DH117+'Свод '!DN117+'Свод '!DR117+'Свод '!DT117+'Свод '!DV117+'Свод '!DX117+'Свод '!DZ117+'Свод '!EB117+'Свод '!ED117+'Свод '!EF117+'Свод '!EH117+'Свод '!EJ117+'Свод '!EL117+'Свод '!FJ117+'Свод '!FL117+'Свод '!FN117+'Свод '!FP117+'Свод '!FR117+'Свод '!FT117+'Свод '!FV117+'Свод '!FX117+'Свод '!FZ117+'Свод '!GB117+'Свод '!GD117+'Свод '!GF117+'Свод '!GH117+'Свод '!HF117+'Свод '!HH117+'Свод '!HJ117+'Свод '!HL117+'Свод '!HN117+'Свод '!HR117+Лист1!B117+Лист1!D117+Лист1!F117+Лист1!H117+Лист1!J117+Лист1!L117+Лист1!N117+Лист1!P117+'Свод '!DL117</f>
        <v>71.9</v>
      </c>
      <c r="AK117" s="39">
        <f>'Свод '!AC117+'Свод '!AE117+'Свод '!AM117+'Свод '!AO117+'Свод '!AQ117+'Свод '!BE117+'Свод '!BG117+'Свод '!BI117+'Свод '!BK117+'Свод '!BM117+'Свод '!BO117+'Свод '!BQ117+'Свод '!BS117+'Свод '!BU117+'Свод '!BW117+'Свод '!BY117+'Свод '!CA117+'Свод '!CI117+'Свод '!CK117+'Свод '!CM117+'Свод '!CO117+'Свод '!CQ117+'Свод '!CS117+'Свод '!CU117+'Свод '!CW117+'Свод '!CY117+'Свод '!DA117+'Свод '!DC117+'Свод '!DI117+'Свод '!DO117+'Свод '!DS117+'Свод '!DU117+'Свод '!DW117+'Свод '!DY117+'Свод '!EA117+'Свод '!EC117+'Свод '!EE117+'Свод '!EG117+'Свод '!EI117+'Свод '!EK117+'Свод '!EM117+'Свод '!FK117+'Свод '!FM117+'Свод '!FO117+'Свод '!FQ117+'Свод '!FS117+'Свод '!FU117+'Свод '!FW117+'Свод '!FY117+'Свод '!GA117+'Свод '!GC117+'Свод '!GE117+'Свод '!GG117+'Свод '!GI117+'Свод '!HG117+'Свод '!HI117+'Свод '!HK117+'Свод '!HM117+'Свод '!HO117+'Свод '!HS117+Лист1!C117+Лист1!E117+Лист1!G117+Лист1!I117+Лист1!K117+Лист1!M117+Лист1!O117+Лист1!Q117+'Свод '!DM117</f>
        <v>43.2</v>
      </c>
      <c r="AL117" s="144">
        <f>'Свод '!AF117+'Свод '!AJ117+'Свод '!BB117+'Свод '!CB117+'Свод '!CD117+'Свод '!EN117+'Свод '!FD117+'Свод '!FF117+'Свод '!GJ117+'Свод '!GL117+'Свод '!GN117+'Свод '!GP117+'Свод '!GR117+'Свод '!GT117+'Свод '!GV117+'Свод '!GX117+'Свод '!HT117+'Свод '!HV117</f>
        <v>147</v>
      </c>
      <c r="AM117" s="42">
        <f>'Свод '!AG117+'Свод '!AK117+'Свод '!BC117+'Свод '!CC117+'Свод '!CE117+'Свод '!EO117+'Свод '!FE117+'Свод '!FG117+'Свод '!GK117+'Свод '!GM117+'Свод '!GO117+'Свод '!GQ117+'Свод '!GS117+'Свод '!GU117+'Свод '!GW117+'Свод '!GY117+'Свод '!HU117+'Свод '!HW117</f>
        <v>147.00000000000003</v>
      </c>
      <c r="AN117" s="42">
        <f>'Свод '!J117+'Свод '!L117+'Свод '!N117+'Свод '!P117+'Свод '!R117+'Свод '!T117+'Свод '!V117+'Свод '!X117+'Свод '!Z117+'Свод '!AR117+'Свод '!AT117+'Свод '!AV117+'Свод '!AX117+'Свод '!DD117+'Свод '!EP117+'Свод '!ER117+'Свод '!ET117+'Свод '!EV117+'Свод '!EX117+'Свод '!EZ117+'Свод '!GZ117+'Свод '!HB117+T117+V117+Z117+AB117</f>
        <v>283.90634</v>
      </c>
      <c r="AO117" s="42">
        <f>'Свод '!K117+'Свод '!M117+'Свод '!O117+'Свод '!Q117+'Свод '!S117+'Свод '!U117+'Свод '!W117+'Свод '!Y117+'Свод '!AA117+'Свод '!AS117+'Свод '!AU117+'Свод '!AW117+'Свод '!AY117+'Свод '!DE117+'Свод '!EQ117+'Свод '!ES117+'Свод '!EU117+'Свод '!EW117+'Свод '!EY117+'Свод '!FA117+'Свод '!HA117+'Свод '!HC117+U117+W117+AA117+AC117</f>
        <v>283.90634</v>
      </c>
    </row>
    <row r="118" spans="1:41" ht="12.75" customHeight="1">
      <c r="A118" s="109" t="s">
        <v>270</v>
      </c>
      <c r="B118" s="104"/>
      <c r="C118" s="42"/>
      <c r="D118" s="40"/>
      <c r="E118" s="40"/>
      <c r="F118" s="43"/>
      <c r="G118" s="46"/>
      <c r="H118" s="40"/>
      <c r="I118" s="40"/>
      <c r="J118" s="110"/>
      <c r="K118" s="42"/>
      <c r="L118" s="40"/>
      <c r="M118" s="40"/>
      <c r="N118" s="40"/>
      <c r="O118" s="40"/>
      <c r="P118" s="40"/>
      <c r="Q118" s="40"/>
      <c r="R118" s="42">
        <f t="shared" si="8"/>
        <v>0</v>
      </c>
      <c r="S118" s="42">
        <f t="shared" si="9"/>
        <v>0</v>
      </c>
      <c r="T118" s="42"/>
      <c r="U118" s="42"/>
      <c r="V118" s="40"/>
      <c r="W118" s="40"/>
      <c r="X118" s="42">
        <f t="shared" si="10"/>
        <v>0</v>
      </c>
      <c r="Y118" s="42">
        <f t="shared" si="11"/>
        <v>0</v>
      </c>
      <c r="Z118" s="42"/>
      <c r="AA118" s="42"/>
      <c r="AB118" s="40"/>
      <c r="AC118" s="40"/>
      <c r="AD118" s="42">
        <f t="shared" si="12"/>
        <v>0</v>
      </c>
      <c r="AE118" s="42">
        <f t="shared" si="13"/>
        <v>0</v>
      </c>
      <c r="AF118" s="42">
        <f>'Свод '!AH118+'Свод '!AZ118+'Свод '!BB118+'Свод '!CF118+'Свод '!DF118+'Свод '!DJ118+'Свод '!DP118+'Свод '!FB118+'Свод '!FH118+'Свод '!HD118+'Свод '!HP118+'Свод '!HX118+Лист1!R118+Лист1!AD118+X118</f>
        <v>5438.32268</v>
      </c>
      <c r="AG118" s="42">
        <f>'Свод '!AI118+'Свод '!BA118+'Свод '!BC118+'Свод '!CG118+'Свод '!DG118+'Свод '!DK118+'Свод '!DQ118+'Свод '!FC118+'Свод '!FI118+'Свод '!HE118+'Свод '!HQ118+'Свод '!HY118+Лист1!S118+Лист1!AE118+Y118</f>
        <v>5282.35268</v>
      </c>
      <c r="AH118" s="42">
        <f>'Свод '!B118+'Свод '!D118+'Свод '!F118+'Свод '!H118</f>
        <v>4931</v>
      </c>
      <c r="AI118" s="42">
        <f>'Свод '!C118+'Свод '!E118+'Свод '!G118+'Свод '!I118</f>
        <v>4931</v>
      </c>
      <c r="AJ118" s="39">
        <f>'Свод '!AB118+'Свод '!AD118+'Свод '!AL118+'Свод '!AN118+'Свод '!AP118+'Свод '!BD118+'Свод '!BF118+'Свод '!BH118+'Свод '!BJ118+'Свод '!BL118+'Свод '!BN118+'Свод '!BP118+'Свод '!BR118+'Свод '!BT118+'Свод '!BV118+'Свод '!BX118+'Свод '!BZ118+'Свод '!CH118+'Свод '!CJ118+'Свод '!CL118+'Свод '!CN118+'Свод '!CP118+'Свод '!CR118+'Свод '!CT118+'Свод '!CV118+'Свод '!CX118+'Свод '!CZ118+'Свод '!DB118+'Свод '!DH118+'Свод '!DN118+'Свод '!DR118+'Свод '!DT118+'Свод '!DV118+'Свод '!DX118+'Свод '!DZ118+'Свод '!EB118+'Свод '!ED118+'Свод '!EF118+'Свод '!EH118+'Свод '!EJ118+'Свод '!EL118+'Свод '!FJ118+'Свод '!FL118+'Свод '!FN118+'Свод '!FP118+'Свод '!FR118+'Свод '!FT118+'Свод '!FV118+'Свод '!FX118+'Свод '!FZ118+'Свод '!GB118+'Свод '!GD118+'Свод '!GF118+'Свод '!GH118+'Свод '!HF118+'Свод '!HH118+'Свод '!HJ118+'Свод '!HL118+'Свод '!HN118+'Свод '!HR118+Лист1!B118+Лист1!D118+Лист1!F118+Лист1!H118+Лист1!J118+Лист1!L118+Лист1!N118+Лист1!P118+'Свод '!DL118</f>
        <v>307</v>
      </c>
      <c r="AK118" s="39">
        <f>'Свод '!AC118+'Свод '!AE118+'Свод '!AM118+'Свод '!AO118+'Свод '!AQ118+'Свод '!BE118+'Свод '!BG118+'Свод '!BI118+'Свод '!BK118+'Свод '!BM118+'Свод '!BO118+'Свод '!BQ118+'Свод '!BS118+'Свод '!BU118+'Свод '!BW118+'Свод '!BY118+'Свод '!CA118+'Свод '!CI118+'Свод '!CK118+'Свод '!CM118+'Свод '!CO118+'Свод '!CQ118+'Свод '!CS118+'Свод '!CU118+'Свод '!CW118+'Свод '!CY118+'Свод '!DA118+'Свод '!DC118+'Свод '!DI118+'Свод '!DO118+'Свод '!DS118+'Свод '!DU118+'Свод '!DW118+'Свод '!DY118+'Свод '!EA118+'Свод '!EC118+'Свод '!EE118+'Свод '!EG118+'Свод '!EI118+'Свод '!EK118+'Свод '!EM118+'Свод '!FK118+'Свод '!FM118+'Свод '!FO118+'Свод '!FQ118+'Свод '!FS118+'Свод '!FU118+'Свод '!FW118+'Свод '!FY118+'Свод '!GA118+'Свод '!GC118+'Свод '!GE118+'Свод '!GG118+'Свод '!GI118+'Свод '!HG118+'Свод '!HI118+'Свод '!HK118+'Свод '!HM118+'Свод '!HO118+'Свод '!HS118+Лист1!C118+Лист1!E118+Лист1!G118+Лист1!I118+Лист1!K118+Лист1!M118+Лист1!O118+Лист1!Q118+'Свод '!DM118</f>
        <v>151.03</v>
      </c>
      <c r="AL118" s="144">
        <f>'Свод '!AF118+'Свод '!AJ118+'Свод '!BB118+'Свод '!CB118+'Свод '!CD118+'Свод '!EN118+'Свод '!FD118+'Свод '!FF118+'Свод '!GJ118+'Свод '!GL118+'Свод '!GN118+'Свод '!GP118+'Свод '!GR118+'Свод '!GT118+'Свод '!GV118+'Свод '!GX118+'Свод '!HT118+'Свод '!HV118</f>
        <v>147</v>
      </c>
      <c r="AM118" s="42">
        <f>'Свод '!AG118+'Свод '!AK118+'Свод '!BC118+'Свод '!CC118+'Свод '!CE118+'Свод '!EO118+'Свод '!FE118+'Свод '!FG118+'Свод '!GK118+'Свод '!GM118+'Свод '!GO118+'Свод '!GQ118+'Свод '!GS118+'Свод '!GU118+'Свод '!GW118+'Свод '!GY118+'Свод '!HU118+'Свод '!HW118</f>
        <v>147</v>
      </c>
      <c r="AN118" s="42">
        <f>'Свод '!J118+'Свод '!L118+'Свод '!N118+'Свод '!P118+'Свод '!R118+'Свод '!T118+'Свод '!V118+'Свод '!X118+'Свод '!Z118+'Свод '!AR118+'Свод '!AT118+'Свод '!AV118+'Свод '!AX118+'Свод '!DD118+'Свод '!EP118+'Свод '!ER118+'Свод '!ET118+'Свод '!EV118+'Свод '!EX118+'Свод '!EZ118+'Свод '!GZ118+'Свод '!HB118+T118+V118+Z118+AB118</f>
        <v>53.322680000000005</v>
      </c>
      <c r="AO118" s="42">
        <f>'Свод '!K118+'Свод '!M118+'Свод '!O118+'Свод '!Q118+'Свод '!S118+'Свод '!U118+'Свод '!W118+'Свод '!Y118+'Свод '!AA118+'Свод '!AS118+'Свод '!AU118+'Свод '!AW118+'Свод '!AY118+'Свод '!DE118+'Свод '!EQ118+'Свод '!ES118+'Свод '!EU118+'Свод '!EW118+'Свод '!EY118+'Свод '!FA118+'Свод '!HA118+'Свод '!HC118+U118+W118+AA118+AC118</f>
        <v>53.32268</v>
      </c>
    </row>
    <row r="119" spans="1:41" ht="12.75">
      <c r="A119" s="109" t="s">
        <v>271</v>
      </c>
      <c r="B119" s="104"/>
      <c r="C119" s="42"/>
      <c r="D119" s="40"/>
      <c r="E119" s="40"/>
      <c r="F119" s="43"/>
      <c r="G119" s="46"/>
      <c r="H119" s="40"/>
      <c r="I119" s="40"/>
      <c r="J119" s="110"/>
      <c r="K119" s="42"/>
      <c r="L119" s="40"/>
      <c r="M119" s="40"/>
      <c r="N119" s="40"/>
      <c r="O119" s="40"/>
      <c r="P119" s="40"/>
      <c r="Q119" s="40"/>
      <c r="R119" s="42">
        <f t="shared" si="8"/>
        <v>0</v>
      </c>
      <c r="S119" s="42">
        <f t="shared" si="9"/>
        <v>0</v>
      </c>
      <c r="T119" s="42"/>
      <c r="U119" s="42"/>
      <c r="V119" s="40"/>
      <c r="W119" s="40"/>
      <c r="X119" s="42">
        <f t="shared" si="10"/>
        <v>0</v>
      </c>
      <c r="Y119" s="42">
        <f t="shared" si="11"/>
        <v>0</v>
      </c>
      <c r="Z119" s="42"/>
      <c r="AA119" s="42"/>
      <c r="AB119" s="40"/>
      <c r="AC119" s="40"/>
      <c r="AD119" s="42">
        <f t="shared" si="12"/>
        <v>0</v>
      </c>
      <c r="AE119" s="42">
        <f t="shared" si="13"/>
        <v>0</v>
      </c>
      <c r="AF119" s="42">
        <f>'Свод '!AH119+'Свод '!AZ119+'Свод '!BB119+'Свод '!CF119+'Свод '!DF119+'Свод '!DJ119+'Свод '!DP119+'Свод '!FB119+'Свод '!FH119+'Свод '!HD119+'Свод '!HP119+'Свод '!HX119+Лист1!R119+Лист1!AD119+X119</f>
        <v>2537.13718</v>
      </c>
      <c r="AG119" s="42">
        <f>'Свод '!AI119+'Свод '!BA119+'Свод '!BC119+'Свод '!CG119+'Свод '!DG119+'Свод '!DK119+'Свод '!DQ119+'Свод '!FC119+'Свод '!FI119+'Свод '!HE119+'Свод '!HQ119+'Свод '!HY119+Лист1!S119+Лист1!AE119+Y119</f>
        <v>2537.13718</v>
      </c>
      <c r="AH119" s="42">
        <f>'Свод '!B119+'Свод '!D119+'Свод '!F119+'Свод '!H119</f>
        <v>2303</v>
      </c>
      <c r="AI119" s="42">
        <f>'Свод '!C119+'Свод '!E119+'Свод '!G119+'Свод '!I119</f>
        <v>2303</v>
      </c>
      <c r="AJ119" s="39">
        <f>'Свод '!AB119+'Свод '!AD119+'Свод '!AL119+'Свод '!AN119+'Свод '!AP119+'Свод '!BD119+'Свод '!BF119+'Свод '!BH119+'Свод '!BJ119+'Свод '!BL119+'Свод '!BN119+'Свод '!BP119+'Свод '!BR119+'Свод '!BT119+'Свод '!BV119+'Свод '!BX119+'Свод '!BZ119+'Свод '!CH119+'Свод '!CJ119+'Свод '!CL119+'Свод '!CN119+'Свод '!CP119+'Свод '!CR119+'Свод '!CT119+'Свод '!CV119+'Свод '!CX119+'Свод '!CZ119+'Свод '!DB119+'Свод '!DH119+'Свод '!DN119+'Свод '!DR119+'Свод '!DT119+'Свод '!DV119+'Свод '!DX119+'Свод '!DZ119+'Свод '!EB119+'Свод '!ED119+'Свод '!EF119+'Свод '!EH119+'Свод '!EJ119+'Свод '!EL119+'Свод '!FJ119+'Свод '!FL119+'Свод '!FN119+'Свод '!FP119+'Свод '!FR119+'Свод '!FT119+'Свод '!FV119+'Свод '!FX119+'Свод '!FZ119+'Свод '!GB119+'Свод '!GD119+'Свод '!GF119+'Свод '!GH119+'Свод '!HF119+'Свод '!HH119+'Свод '!HJ119+'Свод '!HL119+'Свод '!HN119+'Свод '!HR119+Лист1!B119+Лист1!D119+Лист1!F119+Лист1!H119+Лист1!J119+Лист1!L119+Лист1!N119+Лист1!P119+'Свод '!DL119</f>
        <v>63.8</v>
      </c>
      <c r="AK119" s="39">
        <f>'Свод '!AC119+'Свод '!AE119+'Свод '!AM119+'Свод '!AO119+'Свод '!AQ119+'Свод '!BE119+'Свод '!BG119+'Свод '!BI119+'Свод '!BK119+'Свод '!BM119+'Свод '!BO119+'Свод '!BQ119+'Свод '!BS119+'Свод '!BU119+'Свод '!BW119+'Свод '!BY119+'Свод '!CA119+'Свод '!CI119+'Свод '!CK119+'Свод '!CM119+'Свод '!CO119+'Свод '!CQ119+'Свод '!CS119+'Свод '!CU119+'Свод '!CW119+'Свод '!CY119+'Свод '!DA119+'Свод '!DC119+'Свод '!DI119+'Свод '!DO119+'Свод '!DS119+'Свод '!DU119+'Свод '!DW119+'Свод '!DY119+'Свод '!EA119+'Свод '!EC119+'Свод '!EE119+'Свод '!EG119+'Свод '!EI119+'Свод '!EK119+'Свод '!EM119+'Свод '!FK119+'Свод '!FM119+'Свод '!FO119+'Свод '!FQ119+'Свод '!FS119+'Свод '!FU119+'Свод '!FW119+'Свод '!FY119+'Свод '!GA119+'Свод '!GC119+'Свод '!GE119+'Свод '!GG119+'Свод '!GI119+'Свод '!HG119+'Свод '!HI119+'Свод '!HK119+'Свод '!HM119+'Свод '!HO119+'Свод '!HS119+Лист1!C119+Лист1!E119+Лист1!G119+Лист1!I119+Лист1!K119+Лист1!M119+Лист1!O119+Лист1!Q119+'Свод '!DM119</f>
        <v>63.8</v>
      </c>
      <c r="AL119" s="144">
        <f>'Свод '!AF119+'Свод '!AJ119+'Свод '!BB119+'Свод '!CB119+'Свод '!CD119+'Свод '!EN119+'Свод '!FD119+'Свод '!FF119+'Свод '!GJ119+'Свод '!GL119+'Свод '!GN119+'Свод '!GP119+'Свод '!GR119+'Свод '!GT119+'Свод '!GV119+'Свод '!GX119+'Свод '!HT119+'Свод '!HV119</f>
        <v>147</v>
      </c>
      <c r="AM119" s="42">
        <f>'Свод '!AG119+'Свод '!AK119+'Свод '!BC119+'Свод '!CC119+'Свод '!CE119+'Свод '!EO119+'Свод '!FE119+'Свод '!FG119+'Свод '!GK119+'Свод '!GM119+'Свод '!GO119+'Свод '!GQ119+'Свод '!GS119+'Свод '!GU119+'Свод '!GW119+'Свод '!GY119+'Свод '!HU119+'Свод '!HW119</f>
        <v>147</v>
      </c>
      <c r="AN119" s="42">
        <f>'Свод '!J119+'Свод '!L119+'Свод '!N119+'Свод '!P119+'Свод '!R119+'Свод '!T119+'Свод '!V119+'Свод '!X119+'Свод '!Z119+'Свод '!AR119+'Свод '!AT119+'Свод '!AV119+'Свод '!AX119+'Свод '!DD119+'Свод '!EP119+'Свод '!ER119+'Свод '!ET119+'Свод '!EV119+'Свод '!EX119+'Свод '!EZ119+'Свод '!GZ119+'Свод '!HB119+T119+V119+Z119+AB119</f>
        <v>23.33718</v>
      </c>
      <c r="AO119" s="42">
        <f>'Свод '!K119+'Свод '!M119+'Свод '!O119+'Свод '!Q119+'Свод '!S119+'Свод '!U119+'Свод '!W119+'Свод '!Y119+'Свод '!AA119+'Свод '!AS119+'Свод '!AU119+'Свод '!AW119+'Свод '!AY119+'Свод '!DE119+'Свод '!EQ119+'Свод '!ES119+'Свод '!EU119+'Свод '!EW119+'Свод '!EY119+'Свод '!FA119+'Свод '!HA119+'Свод '!HC119+U119+W119+AA119+AC119</f>
        <v>23.33718</v>
      </c>
    </row>
    <row r="120" spans="1:41" ht="12.75" customHeight="1">
      <c r="A120" s="109" t="s">
        <v>272</v>
      </c>
      <c r="B120" s="104"/>
      <c r="C120" s="42"/>
      <c r="D120" s="40"/>
      <c r="E120" s="40"/>
      <c r="F120" s="43"/>
      <c r="G120" s="46"/>
      <c r="H120" s="40"/>
      <c r="I120" s="40"/>
      <c r="J120" s="110"/>
      <c r="K120" s="42"/>
      <c r="L120" s="40"/>
      <c r="M120" s="40"/>
      <c r="N120" s="40"/>
      <c r="O120" s="40"/>
      <c r="P120" s="40"/>
      <c r="Q120" s="40"/>
      <c r="R120" s="42">
        <f t="shared" si="8"/>
        <v>0</v>
      </c>
      <c r="S120" s="42">
        <f t="shared" si="9"/>
        <v>0</v>
      </c>
      <c r="T120" s="42"/>
      <c r="U120" s="42"/>
      <c r="V120" s="40"/>
      <c r="W120" s="40"/>
      <c r="X120" s="42">
        <f t="shared" si="10"/>
        <v>0</v>
      </c>
      <c r="Y120" s="42">
        <f t="shared" si="11"/>
        <v>0</v>
      </c>
      <c r="Z120" s="42"/>
      <c r="AA120" s="42"/>
      <c r="AB120" s="40"/>
      <c r="AC120" s="40"/>
      <c r="AD120" s="42">
        <f t="shared" si="12"/>
        <v>0</v>
      </c>
      <c r="AE120" s="42">
        <f t="shared" si="13"/>
        <v>0</v>
      </c>
      <c r="AF120" s="42">
        <f>'Свод '!AH120+'Свод '!AZ120+'Свод '!BB120+'Свод '!CF120+'Свод '!DF120+'Свод '!DJ120+'Свод '!DP120+'Свод '!FB120+'Свод '!FH120+'Свод '!HD120+'Свод '!HP120+'Свод '!HX120+Лист1!R120+Лист1!AD120+X120</f>
        <v>2373.00382</v>
      </c>
      <c r="AG120" s="42">
        <f>'Свод '!AI120+'Свод '!BA120+'Свод '!BC120+'Свод '!CG120+'Свод '!DG120+'Свод '!DK120+'Свод '!DQ120+'Свод '!FC120+'Свод '!FI120+'Свод '!HE120+'Свод '!HQ120+'Свод '!HY120+Лист1!S120+Лист1!AE120+Y120</f>
        <v>2373.00082</v>
      </c>
      <c r="AH120" s="42">
        <f>'Свод '!B120+'Свод '!D120+'Свод '!F120+'Свод '!H120</f>
        <v>2125</v>
      </c>
      <c r="AI120" s="42">
        <f>'Свод '!C120+'Свод '!E120+'Свод '!G120+'Свод '!I120</f>
        <v>2125</v>
      </c>
      <c r="AJ120" s="39">
        <f>'Свод '!AB120+'Свод '!AD120+'Свод '!AL120+'Свод '!AN120+'Свод '!AP120+'Свод '!BD120+'Свод '!BF120+'Свод '!BH120+'Свод '!BJ120+'Свод '!BL120+'Свод '!BN120+'Свод '!BP120+'Свод '!BR120+'Свод '!BT120+'Свод '!BV120+'Свод '!BX120+'Свод '!BZ120+'Свод '!CH120+'Свод '!CJ120+'Свод '!CL120+'Свод '!CN120+'Свод '!CP120+'Свод '!CR120+'Свод '!CT120+'Свод '!CV120+'Свод '!CX120+'Свод '!CZ120+'Свод '!DB120+'Свод '!DH120+'Свод '!DN120+'Свод '!DR120+'Свод '!DT120+'Свод '!DV120+'Свод '!DX120+'Свод '!DZ120+'Свод '!EB120+'Свод '!ED120+'Свод '!EF120+'Свод '!EH120+'Свод '!EJ120+'Свод '!EL120+'Свод '!FJ120+'Свод '!FL120+'Свод '!FN120+'Свод '!FP120+'Свод '!FR120+'Свод '!FT120+'Свод '!FV120+'Свод '!FX120+'Свод '!FZ120+'Свод '!GB120+'Свод '!GD120+'Свод '!GF120+'Свод '!GH120+'Свод '!HF120+'Свод '!HH120+'Свод '!HJ120+'Свод '!HL120+'Свод '!HN120+'Свод '!HR120+Лист1!B120+Лист1!D120+Лист1!F120+Лист1!H120+Лист1!J120+Лист1!L120+Лист1!N120+Лист1!P120+'Свод '!DL120</f>
        <v>138.08</v>
      </c>
      <c r="AK120" s="39">
        <f>'Свод '!AC120+'Свод '!AE120+'Свод '!AM120+'Свод '!AO120+'Свод '!AQ120+'Свод '!BE120+'Свод '!BG120+'Свод '!BI120+'Свод '!BK120+'Свод '!BM120+'Свод '!BO120+'Свод '!BQ120+'Свод '!BS120+'Свод '!BU120+'Свод '!BW120+'Свод '!BY120+'Свод '!CA120+'Свод '!CI120+'Свод '!CK120+'Свод '!CM120+'Свод '!CO120+'Свод '!CQ120+'Свод '!CS120+'Свод '!CU120+'Свод '!CW120+'Свод '!CY120+'Свод '!DA120+'Свод '!DC120+'Свод '!DI120+'Свод '!DO120+'Свод '!DS120+'Свод '!DU120+'Свод '!DW120+'Свод '!DY120+'Свод '!EA120+'Свод '!EC120+'Свод '!EE120+'Свод '!EG120+'Свод '!EI120+'Свод '!EK120+'Свод '!EM120+'Свод '!FK120+'Свод '!FM120+'Свод '!FO120+'Свод '!FQ120+'Свод '!FS120+'Свод '!FU120+'Свод '!FW120+'Свод '!FY120+'Свод '!GA120+'Свод '!GC120+'Свод '!GE120+'Свод '!GG120+'Свод '!GI120+'Свод '!HG120+'Свод '!HI120+'Свод '!HK120+'Свод '!HM120+'Свод '!HO120+'Свод '!HS120+Лист1!C120+Лист1!E120+Лист1!G120+Лист1!I120+Лист1!K120+Лист1!M120+Лист1!O120+Лист1!Q120+'Свод '!DM120</f>
        <v>138.077</v>
      </c>
      <c r="AL120" s="144">
        <f>'Свод '!AF120+'Свод '!AJ120+'Свод '!BB120+'Свод '!CB120+'Свод '!CD120+'Свод '!EN120+'Свод '!FD120+'Свод '!FF120+'Свод '!GJ120+'Свод '!GL120+'Свод '!GN120+'Свод '!GP120+'Свод '!GR120+'Свод '!GT120+'Свод '!GV120+'Свод '!GX120+'Свод '!HT120+'Свод '!HV120</f>
        <v>73</v>
      </c>
      <c r="AM120" s="42">
        <f>'Свод '!AG120+'Свод '!AK120+'Свод '!BC120+'Свод '!CC120+'Свод '!CE120+'Свод '!EO120+'Свод '!FE120+'Свод '!FG120+'Свод '!GK120+'Свод '!GM120+'Свод '!GO120+'Свод '!GQ120+'Свод '!GS120+'Свод '!GU120+'Свод '!GW120+'Свод '!GY120+'Свод '!HU120+'Свод '!HW120</f>
        <v>73</v>
      </c>
      <c r="AN120" s="42">
        <f>'Свод '!J120+'Свод '!L120+'Свод '!N120+'Свод '!P120+'Свод '!R120+'Свод '!T120+'Свод '!V120+'Свод '!X120+'Свод '!Z120+'Свод '!AR120+'Свод '!AT120+'Свод '!AV120+'Свод '!AX120+'Свод '!DD120+'Свод '!EP120+'Свод '!ER120+'Свод '!ET120+'Свод '!EV120+'Свод '!EX120+'Свод '!EZ120+'Свод '!GZ120+'Свод '!HB120+T120+V120+Z120+AB120</f>
        <v>36.92382</v>
      </c>
      <c r="AO120" s="42">
        <f>'Свод '!K120+'Свод '!M120+'Свод '!O120+'Свод '!Q120+'Свод '!S120+'Свод '!U120+'Свод '!W120+'Свод '!Y120+'Свод '!AA120+'Свод '!AS120+'Свод '!AU120+'Свод '!AW120+'Свод '!AY120+'Свод '!DE120+'Свод '!EQ120+'Свод '!ES120+'Свод '!EU120+'Свод '!EW120+'Свод '!EY120+'Свод '!FA120+'Свод '!HA120+'Свод '!HC120+U120+W120+AA120+AC120</f>
        <v>36.92382</v>
      </c>
    </row>
    <row r="121" spans="1:41" ht="21" customHeight="1">
      <c r="A121" s="108" t="s">
        <v>126</v>
      </c>
      <c r="B121" s="104">
        <v>25912.7</v>
      </c>
      <c r="C121" s="42">
        <v>25912.639</v>
      </c>
      <c r="D121" s="40">
        <f>SUM(D122:D134)</f>
        <v>0</v>
      </c>
      <c r="E121" s="40">
        <f>SUM(E122:E134)</f>
        <v>0</v>
      </c>
      <c r="F121" s="43">
        <v>410</v>
      </c>
      <c r="G121" s="46">
        <v>384.70735</v>
      </c>
      <c r="H121" s="40">
        <f>SUM(H122:H134)</f>
        <v>0</v>
      </c>
      <c r="I121" s="40">
        <f>SUM(I122:I134)</f>
        <v>0</v>
      </c>
      <c r="J121" s="104">
        <v>0</v>
      </c>
      <c r="K121" s="42">
        <v>0</v>
      </c>
      <c r="L121" s="47">
        <v>0</v>
      </c>
      <c r="M121" s="47">
        <v>0</v>
      </c>
      <c r="N121" s="47">
        <f>SUM(N122:N134)</f>
        <v>0</v>
      </c>
      <c r="O121" s="47">
        <f>SUM(O122:O134)</f>
        <v>0</v>
      </c>
      <c r="P121" s="47">
        <f>SUM(P122:P134)</f>
        <v>0</v>
      </c>
      <c r="Q121" s="47">
        <f>SUM(Q122:Q134)</f>
        <v>0</v>
      </c>
      <c r="R121" s="42">
        <f t="shared" si="8"/>
        <v>26322.7</v>
      </c>
      <c r="S121" s="42">
        <f t="shared" si="9"/>
        <v>26297.34635</v>
      </c>
      <c r="T121" s="42">
        <v>0</v>
      </c>
      <c r="U121" s="42">
        <v>0</v>
      </c>
      <c r="V121" s="40">
        <v>0</v>
      </c>
      <c r="W121" s="40">
        <v>0</v>
      </c>
      <c r="X121" s="42">
        <f t="shared" si="10"/>
        <v>0</v>
      </c>
      <c r="Y121" s="42">
        <f t="shared" si="11"/>
        <v>0</v>
      </c>
      <c r="Z121" s="42">
        <v>489.6</v>
      </c>
      <c r="AA121" s="42">
        <v>489.6</v>
      </c>
      <c r="AB121" s="40">
        <v>0</v>
      </c>
      <c r="AC121" s="40">
        <v>0</v>
      </c>
      <c r="AD121" s="42">
        <f t="shared" si="12"/>
        <v>489.6</v>
      </c>
      <c r="AE121" s="42">
        <f t="shared" si="13"/>
        <v>489.6</v>
      </c>
      <c r="AF121" s="42">
        <f>'Свод '!AH121+'Свод '!AZ121+'Свод '!BB121+'Свод '!CF121+'Свод '!DF121+'Свод '!DJ121+'Свод '!DP121+'Свод '!FB121+'Свод '!FH121+'Свод '!HD121+'Свод '!HP121+'Свод '!HX121+Лист1!R121+Лист1!AD121+X121</f>
        <v>687762.10293</v>
      </c>
      <c r="AG121" s="42">
        <f>'Свод '!AI121+'Свод '!BA121+'Свод '!BC121+'Свод '!CG121+'Свод '!DG121+'Свод '!DK121+'Свод '!DQ121+'Свод '!FC121+'Свод '!FI121+'Свод '!HE121+'Свод '!HQ121+'Свод '!HY121+Лист1!S121+Лист1!AE121+Y121</f>
        <v>675602.2970900001</v>
      </c>
      <c r="AH121" s="42">
        <f>'Свод '!B121+'Свод '!D121+'Свод '!F121+'Свод '!H121</f>
        <v>128368</v>
      </c>
      <c r="AI121" s="42">
        <f>'Свод '!C121+'Свод '!E121+'Свод '!G121+'Свод '!I121</f>
        <v>128368</v>
      </c>
      <c r="AJ121" s="39">
        <f>'Свод '!AB121+'Свод '!AD121+'Свод '!AL121+'Свод '!AN121+'Свод '!AP121+'Свод '!BD121+'Свод '!BF121+'Свод '!BH121+'Свод '!BJ121+'Свод '!BL121+'Свод '!BN121+'Свод '!BP121+'Свод '!BR121+'Свод '!BT121+'Свод '!BV121+'Свод '!BX121+'Свод '!BZ121+'Свод '!CH121+'Свод '!CJ121+'Свод '!CL121+'Свод '!CN121+'Свод '!CP121+'Свод '!CR121+'Свод '!CT121+'Свод '!CV121+'Свод '!CX121+'Свод '!CZ121+'Свод '!DB121+'Свод '!DH121+'Свод '!DN121+'Свод '!DR121+'Свод '!DT121+'Свод '!DV121+'Свод '!DX121+'Свод '!DZ121+'Свод '!EB121+'Свод '!ED121+'Свод '!EF121+'Свод '!EH121+'Свод '!EJ121+'Свод '!EL121+'Свод '!FJ121+'Свод '!FL121+'Свод '!FN121+'Свод '!FP121+'Свод '!FR121+'Свод '!FT121+'Свод '!FV121+'Свод '!FX121+'Свод '!FZ121+'Свод '!GB121+'Свод '!GD121+'Свод '!GF121+'Свод '!GH121+'Свод '!HF121+'Свод '!HH121+'Свод '!HJ121+'Свод '!HL121+'Свод '!HN121+'Свод '!HR121+Лист1!B121+Лист1!D121+Лист1!F121+Лист1!H121+Лист1!J121+Лист1!L121+Лист1!N121+Лист1!P121+'Свод '!DL121</f>
        <v>204057.38511</v>
      </c>
      <c r="AK121" s="39">
        <f>'Свод '!AC121+'Свод '!AE121+'Свод '!AM121+'Свод '!AO121+'Свод '!AQ121+'Свод '!BE121+'Свод '!BG121+'Свод '!BI121+'Свод '!BK121+'Свод '!BM121+'Свод '!BO121+'Свод '!BQ121+'Свод '!BS121+'Свод '!BU121+'Свод '!BW121+'Свод '!BY121+'Свод '!CA121+'Свод '!CI121+'Свод '!CK121+'Свод '!CM121+'Свод '!CO121+'Свод '!CQ121+'Свод '!CS121+'Свод '!CU121+'Свод '!CW121+'Свод '!CY121+'Свод '!DA121+'Свод '!DC121+'Свод '!DI121+'Свод '!DO121+'Свод '!DS121+'Свод '!DU121+'Свод '!DW121+'Свод '!DY121+'Свод '!EA121+'Свод '!EC121+'Свод '!EE121+'Свод '!EG121+'Свод '!EI121+'Свод '!EK121+'Свод '!EM121+'Свод '!FK121+'Свод '!FM121+'Свод '!FO121+'Свод '!FQ121+'Свод '!FS121+'Свод '!FU121+'Свод '!FW121+'Свод '!FY121+'Свод '!GA121+'Свод '!GC121+'Свод '!GE121+'Свод '!GG121+'Свод '!GI121+'Свод '!HG121+'Свод '!HI121+'Свод '!HK121+'Свод '!HM121+'Свод '!HO121+'Свод '!HS121+Лист1!C121+Лист1!E121+Лист1!G121+Лист1!I121+Лист1!K121+Лист1!M121+Лист1!O121+Лист1!Q121+'Свод '!DM121</f>
        <v>191934.74880000003</v>
      </c>
      <c r="AL121" s="144">
        <f>'Свод '!AF121+'Свод '!AJ121+'Свод '!BB121+'Свод '!CB121+'Свод '!CD121+'Свод '!EN121+'Свод '!FD121+'Свод '!FF121+'Свод '!GJ121+'Свод '!GL121+'Свод '!GN121+'Свод '!GP121+'Свод '!GR121+'Свод '!GT121+'Свод '!GV121+'Свод '!GX121+'Свод '!HT121+'Свод '!HV121</f>
        <v>337238.2630000001</v>
      </c>
      <c r="AM121" s="42">
        <f>'Свод '!AG121+'Свод '!AK121+'Свод '!BC121+'Свод '!CC121+'Свод '!CE121+'Свод '!EO121+'Свод '!FE121+'Свод '!FG121+'Свод '!GK121+'Свод '!GM121+'Свод '!GO121+'Свод '!GQ121+'Свод '!GS121+'Свод '!GU121+'Свод '!GW121+'Свод '!GY121+'Свод '!HU121+'Свод '!HW121</f>
        <v>337215.2630000001</v>
      </c>
      <c r="AN121" s="42">
        <f>'Свод '!J121+'Свод '!L121+'Свод '!N121+'Свод '!P121+'Свод '!R121+'Свод '!T121+'Свод '!V121+'Свод '!X121+'Свод '!Z121+'Свод '!AR121+'Свод '!AT121+'Свод '!AV121+'Свод '!AX121+'Свод '!DD121+'Свод '!EP121+'Свод '!ER121+'Свод '!ET121+'Свод '!EV121+'Свод '!EX121+'Свод '!EZ121+'Свод '!GZ121+'Свод '!HB121+T121+V121+Z121+AB121</f>
        <v>18098.454819999995</v>
      </c>
      <c r="AO121" s="42">
        <f>'Свод '!K121+'Свод '!M121+'Свод '!O121+'Свод '!Q121+'Свод '!S121+'Свод '!U121+'Свод '!W121+'Свод '!Y121+'Свод '!AA121+'Свод '!AS121+'Свод '!AU121+'Свод '!AW121+'Свод '!AY121+'Свод '!DE121+'Свод '!EQ121+'Свод '!ES121+'Свод '!EU121+'Свод '!EW121+'Свод '!EY121+'Свод '!FA121+'Свод '!HA121+'Свод '!HC121+U121+W121+AA121+AC121</f>
        <v>18084.285289999996</v>
      </c>
    </row>
    <row r="122" spans="1:41" ht="12.75" customHeight="1">
      <c r="A122" s="103" t="s">
        <v>156</v>
      </c>
      <c r="B122" s="104">
        <v>25912.7</v>
      </c>
      <c r="C122" s="42">
        <v>25912.639</v>
      </c>
      <c r="D122" s="40"/>
      <c r="E122" s="40"/>
      <c r="F122" s="43">
        <v>381</v>
      </c>
      <c r="G122" s="42">
        <v>360.6619</v>
      </c>
      <c r="H122" s="40"/>
      <c r="I122" s="40"/>
      <c r="J122" s="105"/>
      <c r="K122" s="42"/>
      <c r="L122" s="40"/>
      <c r="M122" s="40"/>
      <c r="N122" s="40"/>
      <c r="O122" s="40"/>
      <c r="P122" s="40"/>
      <c r="Q122" s="40"/>
      <c r="R122" s="42">
        <f t="shared" si="8"/>
        <v>26293.7</v>
      </c>
      <c r="S122" s="42">
        <f t="shared" si="9"/>
        <v>26273.3009</v>
      </c>
      <c r="T122" s="42"/>
      <c r="U122" s="42"/>
      <c r="V122" s="40"/>
      <c r="W122" s="40"/>
      <c r="X122" s="42">
        <f t="shared" si="10"/>
        <v>0</v>
      </c>
      <c r="Y122" s="42">
        <f t="shared" si="11"/>
        <v>0</v>
      </c>
      <c r="Z122" s="42">
        <v>489.6</v>
      </c>
      <c r="AA122" s="42">
        <v>489.6</v>
      </c>
      <c r="AB122" s="40"/>
      <c r="AC122" s="40"/>
      <c r="AD122" s="42">
        <f t="shared" si="12"/>
        <v>489.6</v>
      </c>
      <c r="AE122" s="42">
        <f t="shared" si="13"/>
        <v>489.6</v>
      </c>
      <c r="AF122" s="42">
        <f>'Свод '!AH122+'Свод '!AZ122+'Свод '!BB122+'Свод '!CF122+'Свод '!DF122+'Свод '!DJ122+'Свод '!DP122+'Свод '!FB122+'Свод '!FH122+'Свод '!HD122+'Свод '!HP122+'Свод '!HX122+Лист1!R122+Лист1!AD122+X122</f>
        <v>548850.5090000001</v>
      </c>
      <c r="AG122" s="42">
        <f>'Свод '!AI122+'Свод '!BA122+'Свод '!BC122+'Свод '!CG122+'Свод '!DG122+'Свод '!DK122+'Свод '!DQ122+'Свод '!FC122+'Свод '!FI122+'Свод '!HE122+'Свод '!HQ122+'Свод '!HY122+Лист1!S122+Лист1!AE122+Y122</f>
        <v>547800.2209000001</v>
      </c>
      <c r="AH122" s="42">
        <f>'Свод '!B122+'Свод '!D122+'Свод '!F122+'Свод '!H122</f>
        <v>106677</v>
      </c>
      <c r="AI122" s="42">
        <f>'Свод '!C122+'Свод '!E122+'Свод '!G122+'Свод '!I122</f>
        <v>106677</v>
      </c>
      <c r="AJ122" s="39">
        <f>'Свод '!AB122+'Свод '!AD122+'Свод '!AL122+'Свод '!AN122+'Свод '!AP122+'Свод '!BD122+'Свод '!BF122+'Свод '!BH122+'Свод '!BJ122+'Свод '!BL122+'Свод '!BN122+'Свод '!BP122+'Свод '!BR122+'Свод '!BT122+'Свод '!BV122+'Свод '!BX122+'Свод '!BZ122+'Свод '!CH122+'Свод '!CJ122+'Свод '!CL122+'Свод '!CN122+'Свод '!CP122+'Свод '!CR122+'Свод '!CT122+'Свод '!CV122+'Свод '!CX122+'Свод '!CZ122+'Свод '!DB122+'Свод '!DH122+'Свод '!DN122+'Свод '!DR122+'Свод '!DT122+'Свод '!DV122+'Свод '!DX122+'Свод '!DZ122+'Свод '!EB122+'Свод '!ED122+'Свод '!EF122+'Свод '!EH122+'Свод '!EJ122+'Свод '!EL122+'Свод '!FJ122+'Свод '!FL122+'Свод '!FN122+'Свод '!FP122+'Свод '!FR122+'Свод '!FT122+'Свод '!FV122+'Свод '!FX122+'Свод '!FZ122+'Свод '!GB122+'Свод '!GD122+'Свод '!GF122+'Свод '!GH122+'Свод '!HF122+'Свод '!HH122+'Свод '!HJ122+'Свод '!HL122+'Свод '!HN122+'Свод '!HR122+Лист1!B122+Лист1!D122+Лист1!F122+Лист1!H122+Лист1!J122+Лист1!L122+Лист1!N122+Лист1!P122+'Свод '!DL122</f>
        <v>92362.18199999999</v>
      </c>
      <c r="AK122" s="39">
        <f>'Свод '!AC122+'Свод '!AE122+'Свод '!AM122+'Свод '!AO122+'Свод '!AQ122+'Свод '!BE122+'Свод '!BG122+'Свод '!BI122+'Свод '!BK122+'Свод '!BM122+'Свод '!BO122+'Свод '!BQ122+'Свод '!BS122+'Свод '!BU122+'Свод '!BW122+'Свод '!BY122+'Свод '!CA122+'Свод '!CI122+'Свод '!CK122+'Свод '!CM122+'Свод '!CO122+'Свод '!CQ122+'Свод '!CS122+'Свод '!CU122+'Свод '!CW122+'Свод '!CY122+'Свод '!DA122+'Свод '!DC122+'Свод '!DI122+'Свод '!DO122+'Свод '!DS122+'Свод '!DU122+'Свод '!DW122+'Свод '!DY122+'Свод '!EA122+'Свод '!EC122+'Свод '!EE122+'Свод '!EG122+'Свод '!EI122+'Свод '!EK122+'Свод '!EM122+'Свод '!FK122+'Свод '!FM122+'Свод '!FO122+'Свод '!FQ122+'Свод '!FS122+'Свод '!FU122+'Свод '!FW122+'Свод '!FY122+'Свод '!GA122+'Свод '!GC122+'Свод '!GE122+'Свод '!GG122+'Свод '!GI122+'Свод '!HG122+'Свод '!HI122+'Свод '!HK122+'Свод '!HM122+'Свод '!HO122+'Свод '!HS122+Лист1!C122+Лист1!E122+Лист1!G122+Лист1!I122+Лист1!K122+Лист1!M122+Лист1!O122+Лист1!Q122+'Свод '!DM122</f>
        <v>91334.89390000001</v>
      </c>
      <c r="AL122" s="144">
        <f>'Свод '!AF122+'Свод '!AJ122+'Свод '!BB122+'Свод '!CB122+'Свод '!CD122+'Свод '!EN122+'Свод '!FD122+'Свод '!FF122+'Свод '!GJ122+'Свод '!GL122+'Свод '!GN122+'Свод '!GP122+'Свод '!GR122+'Свод '!GT122+'Свод '!GV122+'Свод '!GX122+'Свод '!HT122+'Свод '!HV122</f>
        <v>335868.16300000006</v>
      </c>
      <c r="AM122" s="42">
        <f>'Свод '!AG122+'Свод '!AK122+'Свод '!BC122+'Свод '!CC122+'Свод '!CE122+'Свод '!EO122+'Свод '!FE122+'Свод '!FG122+'Свод '!GK122+'Свод '!GM122+'Свод '!GO122+'Свод '!GQ122+'Свод '!GS122+'Свод '!GU122+'Свод '!GW122+'Свод '!GY122+'Свод '!HU122+'Свод '!HW122</f>
        <v>335845.16300000006</v>
      </c>
      <c r="AN122" s="42">
        <f>'Свод '!J122+'Свод '!L122+'Свод '!N122+'Свод '!P122+'Свод '!R122+'Свод '!T122+'Свод '!V122+'Свод '!X122+'Свод '!Z122+'Свод '!AR122+'Свод '!AT122+'Свод '!AV122+'Свод '!AX122+'Свод '!DD122+'Свод '!EP122+'Свод '!ER122+'Свод '!ET122+'Свод '!EV122+'Свод '!EX122+'Свод '!EZ122+'Свод '!GZ122+'Свод '!HB122+T122+V122+Z122+AB122</f>
        <v>13943.164</v>
      </c>
      <c r="AO122" s="42">
        <f>'Свод '!K122+'Свод '!M122+'Свод '!O122+'Свод '!Q122+'Свод '!S122+'Свод '!U122+'Свод '!W122+'Свод '!Y122+'Свод '!AA122+'Свод '!AS122+'Свод '!AU122+'Свод '!AW122+'Свод '!AY122+'Свод '!DE122+'Свод '!EQ122+'Свод '!ES122+'Свод '!EU122+'Свод '!EW122+'Свод '!EY122+'Свод '!FA122+'Свод '!HA122+'Свод '!HC122+U122+W122+AA122+AC122</f>
        <v>13943.164</v>
      </c>
    </row>
    <row r="123" spans="1:41" ht="12.75">
      <c r="A123" s="111" t="s">
        <v>125</v>
      </c>
      <c r="B123" s="104"/>
      <c r="C123" s="42"/>
      <c r="D123" s="40"/>
      <c r="E123" s="40"/>
      <c r="F123" s="43"/>
      <c r="G123" s="46"/>
      <c r="H123" s="40"/>
      <c r="I123" s="40"/>
      <c r="J123" s="112"/>
      <c r="K123" s="42"/>
      <c r="L123" s="40"/>
      <c r="M123" s="40"/>
      <c r="N123" s="40"/>
      <c r="O123" s="40"/>
      <c r="P123" s="40"/>
      <c r="Q123" s="40"/>
      <c r="R123" s="42">
        <f t="shared" si="8"/>
        <v>0</v>
      </c>
      <c r="S123" s="42">
        <f t="shared" si="9"/>
        <v>0</v>
      </c>
      <c r="T123" s="42"/>
      <c r="U123" s="42"/>
      <c r="V123" s="40"/>
      <c r="W123" s="40"/>
      <c r="X123" s="42">
        <f t="shared" si="10"/>
        <v>0</v>
      </c>
      <c r="Y123" s="42">
        <f t="shared" si="11"/>
        <v>0</v>
      </c>
      <c r="Z123" s="42"/>
      <c r="AA123" s="42"/>
      <c r="AB123" s="40"/>
      <c r="AC123" s="40"/>
      <c r="AD123" s="42">
        <f t="shared" si="12"/>
        <v>0</v>
      </c>
      <c r="AE123" s="42">
        <f t="shared" si="13"/>
        <v>0</v>
      </c>
      <c r="AF123" s="42">
        <f>'Свод '!AH123+'Свод '!AZ123+'Свод '!BB123+'Свод '!CF123+'Свод '!DF123+'Свод '!DJ123+'Свод '!DP123+'Свод '!FB123+'Свод '!FH123+'Свод '!HD123+'Свод '!HP123+'Свод '!HX123+Лист1!R123+Лист1!AD123+X123</f>
        <v>49443.63517</v>
      </c>
      <c r="AG123" s="42">
        <f>'Свод '!AI123+'Свод '!BA123+'Свод '!BC123+'Свод '!CG123+'Свод '!DG123+'Свод '!DK123+'Свод '!DQ123+'Свод '!FC123+'Свод '!FI123+'Свод '!HE123+'Свод '!HQ123+'Свод '!HY123+Лист1!S123+Лист1!AE123+Y123</f>
        <v>40804.230820000004</v>
      </c>
      <c r="AH123" s="42">
        <f>'Свод '!B123+'Свод '!D123+'Свод '!F123+'Свод '!H123</f>
        <v>2529.9999999999995</v>
      </c>
      <c r="AI123" s="42">
        <f>'Свод '!C123+'Свод '!E123+'Свод '!G123+'Свод '!I123</f>
        <v>2529.9999999999995</v>
      </c>
      <c r="AJ123" s="39">
        <f>'Свод '!AB123+'Свод '!AD123+'Свод '!AL123+'Свод '!AN123+'Свод '!AP123+'Свод '!BD123+'Свод '!BF123+'Свод '!BH123+'Свод '!BJ123+'Свод '!BL123+'Свод '!BN123+'Свод '!BP123+'Свод '!BR123+'Свод '!BT123+'Свод '!BV123+'Свод '!BX123+'Свод '!BZ123+'Свод '!CH123+'Свод '!CJ123+'Свод '!CL123+'Свод '!CN123+'Свод '!CP123+'Свод '!CR123+'Свод '!CT123+'Свод '!CV123+'Свод '!CX123+'Свод '!CZ123+'Свод '!DB123+'Свод '!DH123+'Свод '!DN123+'Свод '!DR123+'Свод '!DT123+'Свод '!DV123+'Свод '!DX123+'Свод '!DZ123+'Свод '!EB123+'Свод '!ED123+'Свод '!EF123+'Свод '!EH123+'Свод '!EJ123+'Свод '!EL123+'Свод '!FJ123+'Свод '!FL123+'Свод '!FN123+'Свод '!FP123+'Свод '!FR123+'Свод '!FT123+'Свод '!FV123+'Свод '!FX123+'Свод '!FZ123+'Свод '!GB123+'Свод '!GD123+'Свод '!GF123+'Свод '!GH123+'Свод '!HF123+'Свод '!HH123+'Свод '!HJ123+'Свод '!HL123+'Свод '!HN123+'Свод '!HR123+Лист1!B123+Лист1!D123+Лист1!F123+Лист1!H123+Лист1!J123+Лист1!L123+Лист1!N123+Лист1!P123+'Свод '!DL123</f>
        <v>45902.877420000004</v>
      </c>
      <c r="AK123" s="39">
        <f>'Свод '!AC123+'Свод '!AE123+'Свод '!AM123+'Свод '!AO123+'Свод '!AQ123+'Свод '!BE123+'Свод '!BG123+'Свод '!BI123+'Свод '!BK123+'Свод '!BM123+'Свод '!BO123+'Свод '!BQ123+'Свод '!BS123+'Свод '!BU123+'Свод '!BW123+'Свод '!BY123+'Свод '!CA123+'Свод '!CI123+'Свод '!CK123+'Свод '!CM123+'Свод '!CO123+'Свод '!CQ123+'Свод '!CS123+'Свод '!CU123+'Свод '!CW123+'Свод '!CY123+'Свод '!DA123+'Свод '!DC123+'Свод '!DI123+'Свод '!DO123+'Свод '!DS123+'Свод '!DU123+'Свод '!DW123+'Свод '!DY123+'Свод '!EA123+'Свод '!EC123+'Свод '!EE123+'Свод '!EG123+'Свод '!EI123+'Свод '!EK123+'Свод '!EM123+'Свод '!FK123+'Свод '!FM123+'Свод '!FO123+'Свод '!FQ123+'Свод '!FS123+'Свод '!FU123+'Свод '!FW123+'Свод '!FY123+'Свод '!GA123+'Свод '!GC123+'Свод '!GE123+'Свод '!GG123+'Свод '!GI123+'Свод '!HG123+'Свод '!HI123+'Свод '!HK123+'Свод '!HM123+'Свод '!HO123+'Свод '!HS123+Лист1!C123+Лист1!E123+Лист1!G123+Лист1!I123+Лист1!K123+Лист1!M123+Лист1!O123+Лист1!Q123+'Свод '!DM123</f>
        <v>37268.44724</v>
      </c>
      <c r="AL123" s="144">
        <f>'Свод '!AF123+'Свод '!AJ123+'Свод '!BB123+'Свод '!CB123+'Свод '!CD123+'Свод '!EN123+'Свод '!FD123+'Свод '!FF123+'Свод '!GJ123+'Свод '!GL123+'Свод '!GN123+'Свод '!GP123+'Свод '!GR123+'Свод '!GT123+'Свод '!GV123+'Свод '!GX123+'Свод '!HT123+'Свод '!HV123</f>
        <v>418.1</v>
      </c>
      <c r="AM123" s="42">
        <f>'Свод '!AG123+'Свод '!AK123+'Свод '!BC123+'Свод '!CC123+'Свод '!CE123+'Свод '!EO123+'Свод '!FE123+'Свод '!FG123+'Свод '!GK123+'Свод '!GM123+'Свод '!GO123+'Свод '!GQ123+'Свод '!GS123+'Свод '!GU123+'Свод '!GW123+'Свод '!GY123+'Свод '!HU123+'Свод '!HW123</f>
        <v>418.1</v>
      </c>
      <c r="AN123" s="42">
        <f>'Свод '!J123+'Свод '!L123+'Свод '!N123+'Свод '!P123+'Свод '!R123+'Свод '!T123+'Свод '!V123+'Свод '!X123+'Свод '!Z123+'Свод '!AR123+'Свод '!AT123+'Свод '!AV123+'Свод '!AX123+'Свод '!DD123+'Свод '!EP123+'Свод '!ER123+'Свод '!ET123+'Свод '!EV123+'Свод '!EX123+'Свод '!EZ123+'Свод '!GZ123+'Свод '!HB123+T123+V123+Z123+AB123</f>
        <v>592.65775</v>
      </c>
      <c r="AO123" s="42">
        <f>'Свод '!K123+'Свод '!M123+'Свод '!O123+'Свод '!Q123+'Свод '!S123+'Свод '!U123+'Свод '!W123+'Свод '!Y123+'Свод '!AA123+'Свод '!AS123+'Свод '!AU123+'Свод '!AW123+'Свод '!AY123+'Свод '!DE123+'Свод '!EQ123+'Свод '!ES123+'Свод '!EU123+'Свод '!EW123+'Свод '!EY123+'Свод '!FA123+'Свод '!HA123+'Свод '!HC123+U123+W123+AA123+AC123</f>
        <v>587.68358</v>
      </c>
    </row>
    <row r="124" spans="1:41" ht="12.75" customHeight="1">
      <c r="A124" s="111" t="s">
        <v>124</v>
      </c>
      <c r="B124" s="104"/>
      <c r="C124" s="42"/>
      <c r="D124" s="40"/>
      <c r="E124" s="40"/>
      <c r="F124" s="43">
        <v>29</v>
      </c>
      <c r="G124" s="42">
        <v>24.045450000000002</v>
      </c>
      <c r="H124" s="40"/>
      <c r="I124" s="40"/>
      <c r="J124" s="112"/>
      <c r="K124" s="42"/>
      <c r="L124" s="40"/>
      <c r="M124" s="40"/>
      <c r="N124" s="40"/>
      <c r="O124" s="40"/>
      <c r="P124" s="40"/>
      <c r="Q124" s="40"/>
      <c r="R124" s="42">
        <f t="shared" si="8"/>
        <v>29</v>
      </c>
      <c r="S124" s="42">
        <f t="shared" si="9"/>
        <v>24.045450000000002</v>
      </c>
      <c r="T124" s="42"/>
      <c r="U124" s="42"/>
      <c r="V124" s="40"/>
      <c r="W124" s="40"/>
      <c r="X124" s="42">
        <f t="shared" si="10"/>
        <v>0</v>
      </c>
      <c r="Y124" s="42">
        <f t="shared" si="11"/>
        <v>0</v>
      </c>
      <c r="Z124" s="42"/>
      <c r="AA124" s="42"/>
      <c r="AB124" s="40"/>
      <c r="AC124" s="40"/>
      <c r="AD124" s="42">
        <f t="shared" si="12"/>
        <v>0</v>
      </c>
      <c r="AE124" s="42">
        <f t="shared" si="13"/>
        <v>0</v>
      </c>
      <c r="AF124" s="42">
        <f>'Свод '!AH124+'Свод '!AZ124+'Свод '!BB124+'Свод '!CF124+'Свод '!DF124+'Свод '!DJ124+'Свод '!DP124+'Свод '!FB124+'Свод '!FH124+'Свод '!HD124+'Свод '!HP124+'Свод '!HX124+Лист1!R124+Лист1!AD124+X124</f>
        <v>58175.06759</v>
      </c>
      <c r="AG124" s="42">
        <f>'Свод '!AI124+'Свод '!BA124+'Свод '!BC124+'Свод '!CG124+'Свод '!DG124+'Свод '!DK124+'Свод '!DQ124+'Свод '!FC124+'Свод '!FI124+'Свод '!HE124+'Свод '!HQ124+'Свод '!HY124+Лист1!S124+Лист1!AE124+Y124</f>
        <v>58170.11304</v>
      </c>
      <c r="AH124" s="42">
        <f>'Свод '!B124+'Свод '!D124+'Свод '!F124+'Свод '!H124</f>
        <v>3201.0000000000005</v>
      </c>
      <c r="AI124" s="42">
        <f>'Свод '!C124+'Свод '!E124+'Свод '!G124+'Свод '!I124</f>
        <v>3201.0000000000005</v>
      </c>
      <c r="AJ124" s="39">
        <f>'Свод '!AB124+'Свод '!AD124+'Свод '!AL124+'Свод '!AN124+'Свод '!AP124+'Свод '!BD124+'Свод '!BF124+'Свод '!BH124+'Свод '!BJ124+'Свод '!BL124+'Свод '!BN124+'Свод '!BP124+'Свод '!BR124+'Свод '!BT124+'Свод '!BV124+'Свод '!BX124+'Свод '!BZ124+'Свод '!CH124+'Свод '!CJ124+'Свод '!CL124+'Свод '!CN124+'Свод '!CP124+'Свод '!CR124+'Свод '!CT124+'Свод '!CV124+'Свод '!CX124+'Свод '!CZ124+'Свод '!DB124+'Свод '!DH124+'Свод '!DN124+'Свод '!DR124+'Свод '!DT124+'Свод '!DV124+'Свод '!DX124+'Свод '!DZ124+'Свод '!EB124+'Свод '!ED124+'Свод '!EF124+'Свод '!EH124+'Свод '!EJ124+'Свод '!EL124+'Свод '!FJ124+'Свод '!FL124+'Свод '!FN124+'Свод '!FP124+'Свод '!FR124+'Свод '!FT124+'Свод '!FV124+'Свод '!FX124+'Свод '!FZ124+'Свод '!GB124+'Свод '!GD124+'Свод '!GF124+'Свод '!GH124+'Свод '!HF124+'Свод '!HH124+'Свод '!HJ124+'Свод '!HL124+'Свод '!HN124+'Свод '!HR124+Лист1!B124+Лист1!D124+Лист1!F124+Лист1!H124+Лист1!J124+Лист1!L124+Лист1!N124+Лист1!P124+'Свод '!DL124</f>
        <v>54974.06759</v>
      </c>
      <c r="AK124" s="39">
        <f>'Свод '!AC124+'Свод '!AE124+'Свод '!AM124+'Свод '!AO124+'Свод '!AQ124+'Свод '!BE124+'Свод '!BG124+'Свод '!BI124+'Свод '!BK124+'Свод '!BM124+'Свод '!BO124+'Свод '!BQ124+'Свод '!BS124+'Свод '!BU124+'Свод '!BW124+'Свод '!BY124+'Свод '!CA124+'Свод '!CI124+'Свод '!CK124+'Свод '!CM124+'Свод '!CO124+'Свод '!CQ124+'Свод '!CS124+'Свод '!CU124+'Свод '!CW124+'Свод '!CY124+'Свод '!DA124+'Свод '!DC124+'Свод '!DI124+'Свод '!DO124+'Свод '!DS124+'Свод '!DU124+'Свод '!DW124+'Свод '!DY124+'Свод '!EA124+'Свод '!EC124+'Свод '!EE124+'Свод '!EG124+'Свод '!EI124+'Свод '!EK124+'Свод '!EM124+'Свод '!FK124+'Свод '!FM124+'Свод '!FO124+'Свод '!FQ124+'Свод '!FS124+'Свод '!FU124+'Свод '!FW124+'Свод '!FY124+'Свод '!GA124+'Свод '!GC124+'Свод '!GE124+'Свод '!GG124+'Свод '!GI124+'Свод '!HG124+'Свод '!HI124+'Свод '!HK124+'Свод '!HM124+'Свод '!HO124+'Свод '!HS124+Лист1!C124+Лист1!E124+Лист1!G124+Лист1!I124+Лист1!K124+Лист1!M124+Лист1!O124+Лист1!Q124+'Свод '!DM124</f>
        <v>54969.11304</v>
      </c>
      <c r="AL124" s="144">
        <f>'Свод '!AF124+'Свод '!AJ124+'Свод '!BB124+'Свод '!CB124+'Свод '!CD124+'Свод '!EN124+'Свод '!FD124+'Свод '!FF124+'Свод '!GJ124+'Свод '!GL124+'Свод '!GN124+'Свод '!GP124+'Свод '!GR124+'Свод '!GT124+'Свод '!GV124+'Свод '!GX124+'Свод '!HT124+'Свод '!HV124</f>
        <v>0</v>
      </c>
      <c r="AM124" s="42">
        <f>'Свод '!AG124+'Свод '!AK124+'Свод '!BC124+'Свод '!CC124+'Свод '!CE124+'Свод '!EO124+'Свод '!FE124+'Свод '!FG124+'Свод '!GK124+'Свод '!GM124+'Свод '!GO124+'Свод '!GQ124+'Свод '!GS124+'Свод '!GU124+'Свод '!GW124+'Свод '!GY124+'Свод '!HU124+'Свод '!HW124</f>
        <v>0</v>
      </c>
      <c r="AN124" s="42">
        <f>'Свод '!J124+'Свод '!L124+'Свод '!N124+'Свод '!P124+'Свод '!R124+'Свод '!T124+'Свод '!V124+'Свод '!X124+'Свод '!Z124+'Свод '!AR124+'Свод '!AT124+'Свод '!AV124+'Свод '!AX124+'Свод '!DD124+'Свод '!EP124+'Свод '!ER124+'Свод '!ET124+'Свод '!EV124+'Свод '!EX124+'Свод '!EZ124+'Свод '!GZ124+'Свод '!HB124+T124+V124+Z124+AB124</f>
        <v>0</v>
      </c>
      <c r="AO124" s="42">
        <f>'Свод '!K124+'Свод '!M124+'Свод '!O124+'Свод '!Q124+'Свод '!S124+'Свод '!U124+'Свод '!W124+'Свод '!Y124+'Свод '!AA124+'Свод '!AS124+'Свод '!AU124+'Свод '!AW124+'Свод '!AY124+'Свод '!DE124+'Свод '!EQ124+'Свод '!ES124+'Свод '!EU124+'Свод '!EW124+'Свод '!EY124+'Свод '!FA124+'Свод '!HA124+'Свод '!HC124+U124+W124+AA124+AC124</f>
        <v>0</v>
      </c>
    </row>
    <row r="125" spans="1:41" ht="12.75">
      <c r="A125" s="111" t="s">
        <v>123</v>
      </c>
      <c r="B125" s="104"/>
      <c r="C125" s="42"/>
      <c r="D125" s="40"/>
      <c r="E125" s="40"/>
      <c r="F125" s="43"/>
      <c r="G125" s="46"/>
      <c r="H125" s="40"/>
      <c r="I125" s="40"/>
      <c r="J125" s="112"/>
      <c r="K125" s="42"/>
      <c r="L125" s="40"/>
      <c r="M125" s="40"/>
      <c r="N125" s="40"/>
      <c r="O125" s="40"/>
      <c r="P125" s="40"/>
      <c r="Q125" s="40"/>
      <c r="R125" s="42">
        <f t="shared" si="8"/>
        <v>0</v>
      </c>
      <c r="S125" s="42">
        <f t="shared" si="9"/>
        <v>0</v>
      </c>
      <c r="T125" s="42"/>
      <c r="U125" s="42"/>
      <c r="V125" s="40"/>
      <c r="W125" s="40"/>
      <c r="X125" s="42">
        <f t="shared" si="10"/>
        <v>0</v>
      </c>
      <c r="Y125" s="42">
        <f t="shared" si="11"/>
        <v>0</v>
      </c>
      <c r="Z125" s="42"/>
      <c r="AA125" s="42"/>
      <c r="AB125" s="40"/>
      <c r="AC125" s="40"/>
      <c r="AD125" s="42">
        <f t="shared" si="12"/>
        <v>0</v>
      </c>
      <c r="AE125" s="42">
        <f t="shared" si="13"/>
        <v>0</v>
      </c>
      <c r="AF125" s="42">
        <f>'Свод '!AH125+'Свод '!AZ125+'Свод '!BB125+'Свод '!CF125+'Свод '!DF125+'Свод '!DJ125+'Свод '!DP125+'Свод '!FB125+'Свод '!FH125+'Свод '!HD125+'Свод '!HP125+'Свод '!HX125+Лист1!R125+Лист1!AD125+X125</f>
        <v>4202.64286</v>
      </c>
      <c r="AG125" s="42">
        <f>'Свод '!AI125+'Свод '!BA125+'Свод '!BC125+'Свод '!CG125+'Свод '!DG125+'Свод '!DK125+'Свод '!DQ125+'Свод '!FC125+'Свод '!FI125+'Свод '!HE125+'Свод '!HQ125+'Свод '!HY125+Лист1!S125+Лист1!AE125+Y125</f>
        <v>4201.388639999999</v>
      </c>
      <c r="AH125" s="42">
        <f>'Свод '!B125+'Свод '!D125+'Свод '!F125+'Свод '!H125</f>
        <v>1311</v>
      </c>
      <c r="AI125" s="42">
        <f>'Свод '!C125+'Свод '!E125+'Свод '!G125+'Свод '!I125</f>
        <v>1311</v>
      </c>
      <c r="AJ125" s="39">
        <f>'Свод '!AB125+'Свод '!AD125+'Свод '!AL125+'Свод '!AN125+'Свод '!AP125+'Свод '!BD125+'Свод '!BF125+'Свод '!BH125+'Свод '!BJ125+'Свод '!BL125+'Свод '!BN125+'Свод '!BP125+'Свод '!BR125+'Свод '!BT125+'Свод '!BV125+'Свод '!BX125+'Свод '!BZ125+'Свод '!CH125+'Свод '!CJ125+'Свод '!CL125+'Свод '!CN125+'Свод '!CP125+'Свод '!CR125+'Свод '!CT125+'Свод '!CV125+'Свод '!CX125+'Свод '!CZ125+'Свод '!DB125+'Свод '!DH125+'Свод '!DN125+'Свод '!DR125+'Свод '!DT125+'Свод '!DV125+'Свод '!DX125+'Свод '!DZ125+'Свод '!EB125+'Свод '!ED125+'Свод '!EF125+'Свод '!EH125+'Свод '!EJ125+'Свод '!EL125+'Свод '!FJ125+'Свод '!FL125+'Свод '!FN125+'Свод '!FP125+'Свод '!FR125+'Свод '!FT125+'Свод '!FV125+'Свод '!FX125+'Свод '!FZ125+'Свод '!GB125+'Свод '!GD125+'Свод '!GF125+'Свод '!GH125+'Свод '!HF125+'Свод '!HH125+'Свод '!HJ125+'Свод '!HL125+'Свод '!HN125+'Свод '!HR125+Лист1!B125+Лист1!D125+Лист1!F125+Лист1!H125+Лист1!J125+Лист1!L125+Лист1!N125+Лист1!P125+'Свод '!DL125</f>
        <v>1895.993</v>
      </c>
      <c r="AK125" s="39">
        <f>'Свод '!AC125+'Свод '!AE125+'Свод '!AM125+'Свод '!AO125+'Свод '!AQ125+'Свод '!BE125+'Свод '!BG125+'Свод '!BI125+'Свод '!BK125+'Свод '!BM125+'Свод '!BO125+'Свод '!BQ125+'Свод '!BS125+'Свод '!BU125+'Свод '!BW125+'Свод '!BY125+'Свод '!CA125+'Свод '!CI125+'Свод '!CK125+'Свод '!CM125+'Свод '!CO125+'Свод '!CQ125+'Свод '!CS125+'Свод '!CU125+'Свод '!CW125+'Свод '!CY125+'Свод '!DA125+'Свод '!DC125+'Свод '!DI125+'Свод '!DO125+'Свод '!DS125+'Свод '!DU125+'Свод '!DW125+'Свод '!DY125+'Свод '!EA125+'Свод '!EC125+'Свод '!EE125+'Свод '!EG125+'Свод '!EI125+'Свод '!EK125+'Свод '!EM125+'Свод '!FK125+'Свод '!FM125+'Свод '!FO125+'Свод '!FQ125+'Свод '!FS125+'Свод '!FU125+'Свод '!FW125+'Свод '!FY125+'Свод '!GA125+'Свод '!GC125+'Свод '!GE125+'Свод '!GG125+'Свод '!GI125+'Свод '!HG125+'Свод '!HI125+'Свод '!HK125+'Свод '!HM125+'Свод '!HO125+'Свод '!HS125+Лист1!C125+Лист1!E125+Лист1!G125+Лист1!I125+Лист1!K125+Лист1!M125+Лист1!O125+Лист1!Q125+'Свод '!DM125</f>
        <v>1895.993</v>
      </c>
      <c r="AL125" s="144">
        <f>'Свод '!AF125+'Свод '!AJ125+'Свод '!BB125+'Свод '!CB125+'Свод '!CD125+'Свод '!EN125+'Свод '!FD125+'Свод '!FF125+'Свод '!GJ125+'Свод '!GL125+'Свод '!GN125+'Свод '!GP125+'Свод '!GR125+'Свод '!GT125+'Свод '!GV125+'Свод '!GX125+'Свод '!HT125+'Свод '!HV125</f>
        <v>147</v>
      </c>
      <c r="AM125" s="42">
        <f>'Свод '!AG125+'Свод '!AK125+'Свод '!BC125+'Свод '!CC125+'Свод '!CE125+'Свод '!EO125+'Свод '!FE125+'Свод '!FG125+'Свод '!GK125+'Свод '!GM125+'Свод '!GO125+'Свод '!GQ125+'Свод '!GS125+'Свод '!GU125+'Свод '!GW125+'Свод '!GY125+'Свод '!HU125+'Свод '!HW125</f>
        <v>146.99999999999997</v>
      </c>
      <c r="AN125" s="42">
        <f>'Свод '!J125+'Свод '!L125+'Свод '!N125+'Свод '!P125+'Свод '!R125+'Свод '!T125+'Свод '!V125+'Свод '!X125+'Свод '!Z125+'Свод '!AR125+'Свод '!AT125+'Свод '!AV125+'Свод '!AX125+'Свод '!DD125+'Свод '!EP125+'Свод '!ER125+'Свод '!ET125+'Свод '!EV125+'Свод '!EX125+'Свод '!EZ125+'Свод '!GZ125+'Свод '!HB125+T125+V125+Z125+AB125</f>
        <v>848.64986</v>
      </c>
      <c r="AO125" s="42">
        <f>'Свод '!K125+'Свод '!M125+'Свод '!O125+'Свод '!Q125+'Свод '!S125+'Свод '!U125+'Свод '!W125+'Свод '!Y125+'Свод '!AA125+'Свод '!AS125+'Свод '!AU125+'Свод '!AW125+'Свод '!AY125+'Свод '!DE125+'Свод '!EQ125+'Свод '!ES125+'Свод '!EU125+'Свод '!EW125+'Свод '!EY125+'Свод '!FA125+'Свод '!HA125+'Свод '!HC125+U125+W125+AA125+AC125</f>
        <v>847.39564</v>
      </c>
    </row>
    <row r="126" spans="1:41" ht="12.75" customHeight="1">
      <c r="A126" s="111" t="s">
        <v>273</v>
      </c>
      <c r="B126" s="104"/>
      <c r="C126" s="42"/>
      <c r="D126" s="40"/>
      <c r="E126" s="40"/>
      <c r="F126" s="43"/>
      <c r="G126" s="46"/>
      <c r="H126" s="40"/>
      <c r="I126" s="40"/>
      <c r="J126" s="112"/>
      <c r="K126" s="42"/>
      <c r="L126" s="40"/>
      <c r="M126" s="40"/>
      <c r="N126" s="40"/>
      <c r="O126" s="40"/>
      <c r="P126" s="40"/>
      <c r="Q126" s="40"/>
      <c r="R126" s="42">
        <f t="shared" si="8"/>
        <v>0</v>
      </c>
      <c r="S126" s="42">
        <f t="shared" si="9"/>
        <v>0</v>
      </c>
      <c r="T126" s="42"/>
      <c r="U126" s="42"/>
      <c r="V126" s="40"/>
      <c r="W126" s="40"/>
      <c r="X126" s="42">
        <f t="shared" si="10"/>
        <v>0</v>
      </c>
      <c r="Y126" s="42">
        <f t="shared" si="11"/>
        <v>0</v>
      </c>
      <c r="Z126" s="42"/>
      <c r="AA126" s="42"/>
      <c r="AB126" s="40"/>
      <c r="AC126" s="40"/>
      <c r="AD126" s="42">
        <f t="shared" si="12"/>
        <v>0</v>
      </c>
      <c r="AE126" s="42">
        <f t="shared" si="13"/>
        <v>0</v>
      </c>
      <c r="AF126" s="42">
        <f>'Свод '!AH126+'Свод '!AZ126+'Свод '!BB126+'Свод '!CF126+'Свод '!DF126+'Свод '!DJ126+'Свод '!DP126+'Свод '!FB126+'Свод '!FH126+'Свод '!HD126+'Свод '!HP126+'Свод '!HX126+Лист1!R126+Лист1!AD126+X126</f>
        <v>5054.14609</v>
      </c>
      <c r="AG126" s="42">
        <f>'Свод '!AI126+'Свод '!BA126+'Свод '!BC126+'Свод '!CG126+'Свод '!DG126+'Свод '!DK126+'Свод '!DQ126+'Свод '!FC126+'Свод '!FI126+'Свод '!HE126+'Свод '!HQ126+'Свод '!HY126+Лист1!S126+Лист1!AE126+Y126</f>
        <v>3216.67752</v>
      </c>
      <c r="AH126" s="42">
        <f>'Свод '!B126+'Свод '!D126+'Свод '!F126+'Свод '!H126</f>
        <v>2003</v>
      </c>
      <c r="AI126" s="42">
        <f>'Свод '!C126+'Свод '!E126+'Свод '!G126+'Свод '!I126</f>
        <v>2003</v>
      </c>
      <c r="AJ126" s="39">
        <f>'Свод '!AB126+'Свод '!AD126+'Свод '!AL126+'Свод '!AN126+'Свод '!AP126+'Свод '!BD126+'Свод '!BF126+'Свод '!BH126+'Свод '!BJ126+'Свод '!BL126+'Свод '!BN126+'Свод '!BP126+'Свод '!BR126+'Свод '!BT126+'Свод '!BV126+'Свод '!BX126+'Свод '!BZ126+'Свод '!CH126+'Свод '!CJ126+'Свод '!CL126+'Свод '!CN126+'Свод '!CP126+'Свод '!CR126+'Свод '!CT126+'Свод '!CV126+'Свод '!CX126+'Свод '!CZ126+'Свод '!DB126+'Свод '!DH126+'Свод '!DN126+'Свод '!DR126+'Свод '!DT126+'Свод '!DV126+'Свод '!DX126+'Свод '!DZ126+'Свод '!EB126+'Свод '!ED126+'Свод '!EF126+'Свод '!EH126+'Свод '!EJ126+'Свод '!EL126+'Свод '!FJ126+'Свод '!FL126+'Свод '!FN126+'Свод '!FP126+'Свод '!FR126+'Свод '!FT126+'Свод '!FV126+'Свод '!FX126+'Свод '!FZ126+'Свод '!GB126+'Свод '!GD126+'Свод '!GF126+'Свод '!GH126+'Свод '!HF126+'Свод '!HH126+'Свод '!HJ126+'Свод '!HL126+'Свод '!HN126+'Свод '!HR126+Лист1!B126+Лист1!D126+Лист1!F126+Лист1!H126+Лист1!J126+Лист1!L126+Лист1!N126+Лист1!P126+'Свод '!DL126</f>
        <v>2976.4551</v>
      </c>
      <c r="AK126" s="39">
        <f>'Свод '!AC126+'Свод '!AE126+'Свод '!AM126+'Свод '!AO126+'Свод '!AQ126+'Свод '!BE126+'Свод '!BG126+'Свод '!BI126+'Свод '!BK126+'Свод '!BM126+'Свод '!BO126+'Свод '!BQ126+'Свод '!BS126+'Свод '!BU126+'Свод '!BW126+'Свод '!BY126+'Свод '!CA126+'Свод '!CI126+'Свод '!CK126+'Свод '!CM126+'Свод '!CO126+'Свод '!CQ126+'Свод '!CS126+'Свод '!CU126+'Свод '!CW126+'Свод '!CY126+'Свод '!DA126+'Свод '!DC126+'Свод '!DI126+'Свод '!DO126+'Свод '!DS126+'Свод '!DU126+'Свод '!DW126+'Свод '!DY126+'Свод '!EA126+'Свод '!EC126+'Свод '!EE126+'Свод '!EG126+'Свод '!EI126+'Свод '!EK126+'Свод '!EM126+'Свод '!FK126+'Свод '!FM126+'Свод '!FO126+'Свод '!FQ126+'Свод '!FS126+'Свод '!FU126+'Свод '!FW126+'Свод '!FY126+'Свод '!GA126+'Свод '!GC126+'Свод '!GE126+'Свод '!GG126+'Свод '!GI126+'Свод '!HG126+'Свод '!HI126+'Свод '!HK126+'Свод '!HM126+'Свод '!HO126+'Свод '!HS126+Лист1!C126+Лист1!E126+Лист1!G126+Лист1!I126+Лист1!K126+Лист1!M126+Лист1!O126+Лист1!Q126+'Свод '!DM126</f>
        <v>1138.9865300000001</v>
      </c>
      <c r="AL126" s="144">
        <f>'Свод '!AF126+'Свод '!AJ126+'Свод '!BB126+'Свод '!CB126+'Свод '!CD126+'Свод '!EN126+'Свод '!FD126+'Свод '!FF126+'Свод '!GJ126+'Свод '!GL126+'Свод '!GN126+'Свод '!GP126+'Свод '!GR126+'Свод '!GT126+'Свод '!GV126+'Свод '!GX126+'Свод '!HT126+'Свод '!HV126</f>
        <v>73</v>
      </c>
      <c r="AM126" s="42">
        <f>'Свод '!AG126+'Свод '!AK126+'Свод '!BC126+'Свод '!CC126+'Свод '!CE126+'Свод '!EO126+'Свод '!FE126+'Свод '!FG126+'Свод '!GK126+'Свод '!GM126+'Свод '!GO126+'Свод '!GQ126+'Свод '!GS126+'Свод '!GU126+'Свод '!GW126+'Свод '!GY126+'Свод '!HU126+'Свод '!HW126</f>
        <v>73</v>
      </c>
      <c r="AN126" s="42">
        <f>'Свод '!J126+'Свод '!L126+'Свод '!N126+'Свод '!P126+'Свод '!R126+'Свод '!T126+'Свод '!V126+'Свод '!X126+'Свод '!Z126+'Свод '!AR126+'Свод '!AT126+'Свод '!AV126+'Свод '!AX126+'Свод '!DD126+'Свод '!EP126+'Свод '!ER126+'Свод '!ET126+'Свод '!EV126+'Свод '!EX126+'Свод '!EZ126+'Свод '!GZ126+'Свод '!HB126+T126+V126+Z126+AB126</f>
        <v>1.69099</v>
      </c>
      <c r="AO126" s="42">
        <f>'Свод '!K126+'Свод '!M126+'Свод '!O126+'Свод '!Q126+'Свод '!S126+'Свод '!U126+'Свод '!W126+'Свод '!Y126+'Свод '!AA126+'Свод '!AS126+'Свод '!AU126+'Свод '!AW126+'Свод '!AY126+'Свод '!DE126+'Свод '!EQ126+'Свод '!ES126+'Свод '!EU126+'Свод '!EW126+'Свод '!EY126+'Свод '!FA126+'Свод '!HA126+'Свод '!HC126+U126+W126+AA126+AC126</f>
        <v>1.69099</v>
      </c>
    </row>
    <row r="127" spans="1:41" ht="12.75">
      <c r="A127" s="111" t="s">
        <v>274</v>
      </c>
      <c r="B127" s="104"/>
      <c r="C127" s="42"/>
      <c r="D127" s="40"/>
      <c r="E127" s="40"/>
      <c r="F127" s="43"/>
      <c r="G127" s="46"/>
      <c r="H127" s="40"/>
      <c r="I127" s="40"/>
      <c r="J127" s="112"/>
      <c r="K127" s="42"/>
      <c r="L127" s="40"/>
      <c r="M127" s="40"/>
      <c r="N127" s="40"/>
      <c r="O127" s="40"/>
      <c r="P127" s="40"/>
      <c r="Q127" s="40"/>
      <c r="R127" s="42">
        <f t="shared" si="8"/>
        <v>0</v>
      </c>
      <c r="S127" s="42">
        <f t="shared" si="9"/>
        <v>0</v>
      </c>
      <c r="T127" s="42"/>
      <c r="U127" s="42"/>
      <c r="V127" s="40"/>
      <c r="W127" s="40"/>
      <c r="X127" s="42">
        <f t="shared" si="10"/>
        <v>0</v>
      </c>
      <c r="Y127" s="42">
        <f t="shared" si="11"/>
        <v>0</v>
      </c>
      <c r="Z127" s="42"/>
      <c r="AA127" s="42"/>
      <c r="AB127" s="40"/>
      <c r="AC127" s="40"/>
      <c r="AD127" s="42">
        <f t="shared" si="12"/>
        <v>0</v>
      </c>
      <c r="AE127" s="42">
        <f t="shared" si="13"/>
        <v>0</v>
      </c>
      <c r="AF127" s="42">
        <f>'Свод '!AH127+'Свод '!AZ127+'Свод '!BB127+'Свод '!CF127+'Свод '!DF127+'Свод '!DJ127+'Свод '!DP127+'Свод '!FB127+'Свод '!FH127+'Свод '!HD127+'Свод '!HP127+'Свод '!HX127+Лист1!R127+Лист1!AD127+X127</f>
        <v>3465.77903</v>
      </c>
      <c r="AG127" s="42">
        <f>'Свод '!AI127+'Свод '!BA127+'Свод '!BC127+'Свод '!CG127+'Свод '!DG127+'Свод '!DK127+'Свод '!DQ127+'Свод '!FC127+'Свод '!FI127+'Свод '!HE127+'Свод '!HQ127+'Свод '!HY127+Лист1!S127+Лист1!AE127+Y127</f>
        <v>3465.76903</v>
      </c>
      <c r="AH127" s="42">
        <f>'Свод '!B127+'Свод '!D127+'Свод '!F127+'Свод '!H127</f>
        <v>3070</v>
      </c>
      <c r="AI127" s="42">
        <f>'Свод '!C127+'Свод '!E127+'Свод '!G127+'Свод '!I127</f>
        <v>3070</v>
      </c>
      <c r="AJ127" s="39">
        <f>'Свод '!AB127+'Свод '!AD127+'Свод '!AL127+'Свод '!AN127+'Свод '!AP127+'Свод '!BD127+'Свод '!BF127+'Свод '!BH127+'Свод '!BJ127+'Свод '!BL127+'Свод '!BN127+'Свод '!BP127+'Свод '!BR127+'Свод '!BT127+'Свод '!BV127+'Свод '!BX127+'Свод '!BZ127+'Свод '!CH127+'Свод '!CJ127+'Свод '!CL127+'Свод '!CN127+'Свод '!CP127+'Свод '!CR127+'Свод '!CT127+'Свод '!CV127+'Свод '!CX127+'Свод '!CZ127+'Свод '!DB127+'Свод '!DH127+'Свод '!DN127+'Свод '!DR127+'Свод '!DT127+'Свод '!DV127+'Свод '!DX127+'Свод '!DZ127+'Свод '!EB127+'Свод '!ED127+'Свод '!EF127+'Свод '!EH127+'Свод '!EJ127+'Свод '!EL127+'Свод '!FJ127+'Свод '!FL127+'Свод '!FN127+'Свод '!FP127+'Свод '!FR127+'Свод '!FT127+'Свод '!FV127+'Свод '!FX127+'Свод '!FZ127+'Свод '!GB127+'Свод '!GD127+'Свод '!GF127+'Свод '!GH127+'Свод '!HF127+'Свод '!HH127+'Свод '!HJ127+'Свод '!HL127+'Свод '!HN127+'Свод '!HR127+Лист1!B127+Лист1!D127+Лист1!F127+Лист1!H127+Лист1!J127+Лист1!L127+Лист1!N127+Лист1!P127+'Свод '!DL127</f>
        <v>296.40000000000003</v>
      </c>
      <c r="AK127" s="39">
        <f>'Свод '!AC127+'Свод '!AE127+'Свод '!AM127+'Свод '!AO127+'Свод '!AQ127+'Свод '!BE127+'Свод '!BG127+'Свод '!BI127+'Свод '!BK127+'Свод '!BM127+'Свод '!BO127+'Свод '!BQ127+'Свод '!BS127+'Свод '!BU127+'Свод '!BW127+'Свод '!BY127+'Свод '!CA127+'Свод '!CI127+'Свод '!CK127+'Свод '!CM127+'Свод '!CO127+'Свод '!CQ127+'Свод '!CS127+'Свод '!CU127+'Свод '!CW127+'Свод '!CY127+'Свод '!DA127+'Свод '!DC127+'Свод '!DI127+'Свод '!DO127+'Свод '!DS127+'Свод '!DU127+'Свод '!DW127+'Свод '!DY127+'Свод '!EA127+'Свод '!EC127+'Свод '!EE127+'Свод '!EG127+'Свод '!EI127+'Свод '!EK127+'Свод '!EM127+'Свод '!FK127+'Свод '!FM127+'Свод '!FO127+'Свод '!FQ127+'Свод '!FS127+'Свод '!FU127+'Свод '!FW127+'Свод '!FY127+'Свод '!GA127+'Свод '!GC127+'Свод '!GE127+'Свод '!GG127+'Свод '!GI127+'Свод '!HG127+'Свод '!HI127+'Свод '!HK127+'Свод '!HM127+'Свод '!HO127+'Свод '!HS127+Лист1!C127+Лист1!E127+Лист1!G127+Лист1!I127+Лист1!K127+Лист1!M127+Лист1!O127+Лист1!Q127+'Свод '!DM127</f>
        <v>296.39</v>
      </c>
      <c r="AL127" s="144">
        <f>'Свод '!AF127+'Свод '!AJ127+'Свод '!BB127+'Свод '!CB127+'Свод '!CD127+'Свод '!EN127+'Свод '!FD127+'Свод '!FF127+'Свод '!GJ127+'Свод '!GL127+'Свод '!GN127+'Свод '!GP127+'Свод '!GR127+'Свод '!GT127+'Свод '!GV127+'Свод '!GX127+'Свод '!HT127+'Свод '!HV127</f>
        <v>73</v>
      </c>
      <c r="AM127" s="42">
        <f>'Свод '!AG127+'Свод '!AK127+'Свод '!BC127+'Свод '!CC127+'Свод '!CE127+'Свод '!EO127+'Свод '!FE127+'Свод '!FG127+'Свод '!GK127+'Свод '!GM127+'Свод '!GO127+'Свод '!GQ127+'Свод '!GS127+'Свод '!GU127+'Свод '!GW127+'Свод '!GY127+'Свод '!HU127+'Свод '!HW127</f>
        <v>73</v>
      </c>
      <c r="AN127" s="42">
        <f>'Свод '!J127+'Свод '!L127+'Свод '!N127+'Свод '!P127+'Свод '!R127+'Свод '!T127+'Свод '!V127+'Свод '!X127+'Свод '!Z127+'Свод '!AR127+'Свод '!AT127+'Свод '!AV127+'Свод '!AX127+'Свод '!DD127+'Свод '!EP127+'Свод '!ER127+'Свод '!ET127+'Свод '!EV127+'Свод '!EX127+'Свод '!EZ127+'Свод '!GZ127+'Свод '!HB127+T127+V127+Z127+AB127</f>
        <v>26.37903</v>
      </c>
      <c r="AO127" s="42">
        <f>'Свод '!K127+'Свод '!M127+'Свод '!O127+'Свод '!Q127+'Свод '!S127+'Свод '!U127+'Свод '!W127+'Свод '!Y127+'Свод '!AA127+'Свод '!AS127+'Свод '!AU127+'Свод '!AW127+'Свод '!AY127+'Свод '!DE127+'Свод '!EQ127+'Свод '!ES127+'Свод '!EU127+'Свод '!EW127+'Свод '!EY127+'Свод '!FA127+'Свод '!HA127+'Свод '!HC127+U127+W127+AA127+AC127</f>
        <v>26.37903</v>
      </c>
    </row>
    <row r="128" spans="1:41" ht="12.75" customHeight="1">
      <c r="A128" s="111" t="s">
        <v>275</v>
      </c>
      <c r="B128" s="104"/>
      <c r="C128" s="42"/>
      <c r="D128" s="40"/>
      <c r="E128" s="40"/>
      <c r="F128" s="43"/>
      <c r="G128" s="46"/>
      <c r="H128" s="40"/>
      <c r="I128" s="40"/>
      <c r="J128" s="112"/>
      <c r="K128" s="42"/>
      <c r="L128" s="40"/>
      <c r="M128" s="40"/>
      <c r="N128" s="40"/>
      <c r="O128" s="40"/>
      <c r="P128" s="40"/>
      <c r="Q128" s="40"/>
      <c r="R128" s="42">
        <f t="shared" si="8"/>
        <v>0</v>
      </c>
      <c r="S128" s="42">
        <f t="shared" si="9"/>
        <v>0</v>
      </c>
      <c r="T128" s="42"/>
      <c r="U128" s="42"/>
      <c r="V128" s="40"/>
      <c r="W128" s="40"/>
      <c r="X128" s="42">
        <f t="shared" si="10"/>
        <v>0</v>
      </c>
      <c r="Y128" s="42">
        <f t="shared" si="11"/>
        <v>0</v>
      </c>
      <c r="Z128" s="42"/>
      <c r="AA128" s="42"/>
      <c r="AB128" s="40"/>
      <c r="AC128" s="40"/>
      <c r="AD128" s="42">
        <f t="shared" si="12"/>
        <v>0</v>
      </c>
      <c r="AE128" s="42">
        <f t="shared" si="13"/>
        <v>0</v>
      </c>
      <c r="AF128" s="42">
        <f>'Свод '!AH128+'Свод '!AZ128+'Свод '!BB128+'Свод '!CF128+'Свод '!DF128+'Свод '!DJ128+'Свод '!DP128+'Свод '!FB128+'Свод '!FH128+'Свод '!HD128+'Свод '!HP128+'Свод '!HX128+Лист1!R128+Лист1!AD128+X128</f>
        <v>2373.1961</v>
      </c>
      <c r="AG128" s="42">
        <f>'Свод '!AI128+'Свод '!BA128+'Свод '!BC128+'Свод '!CG128+'Свод '!DG128+'Свод '!DK128+'Свод '!DQ128+'Свод '!FC128+'Свод '!FI128+'Свод '!HE128+'Свод '!HQ128+'Свод '!HY128+Лист1!S128+Лист1!AE128+Y128</f>
        <v>2268.33507</v>
      </c>
      <c r="AH128" s="42">
        <f>'Свод '!B128+'Свод '!D128+'Свод '!F128+'Свод '!H128</f>
        <v>1249</v>
      </c>
      <c r="AI128" s="42">
        <f>'Свод '!C128+'Свод '!E128+'Свод '!G128+'Свод '!I128</f>
        <v>1249</v>
      </c>
      <c r="AJ128" s="39">
        <f>'Свод '!AB128+'Свод '!AD128+'Свод '!AL128+'Свод '!AN128+'Свод '!AP128+'Свод '!BD128+'Свод '!BF128+'Свод '!BH128+'Свод '!BJ128+'Свод '!BL128+'Свод '!BN128+'Свод '!BP128+'Свод '!BR128+'Свод '!BT128+'Свод '!BV128+'Свод '!BX128+'Свод '!BZ128+'Свод '!CH128+'Свод '!CJ128+'Свод '!CL128+'Свод '!CN128+'Свод '!CP128+'Свод '!CR128+'Свод '!CT128+'Свод '!CV128+'Свод '!CX128+'Свод '!CZ128+'Свод '!DB128+'Свод '!DH128+'Свод '!DN128+'Свод '!DR128+'Свод '!DT128+'Свод '!DV128+'Свод '!DX128+'Свод '!DZ128+'Свод '!EB128+'Свод '!ED128+'Свод '!EF128+'Свод '!EH128+'Свод '!EJ128+'Свод '!EL128+'Свод '!FJ128+'Свод '!FL128+'Свод '!FN128+'Свод '!FP128+'Свод '!FR128+'Свод '!FT128+'Свод '!FV128+'Свод '!FX128+'Свод '!FZ128+'Свод '!GB128+'Свод '!GD128+'Свод '!GF128+'Свод '!GH128+'Свод '!HF128+'Свод '!HH128+'Свод '!HJ128+'Свод '!HL128+'Свод '!HN128+'Свод '!HR128+Лист1!B128+Лист1!D128+Лист1!F128+Лист1!H128+Лист1!J128+Лист1!L128+Лист1!N128+Лист1!P128+'Свод '!DL128</f>
        <v>397</v>
      </c>
      <c r="AK128" s="39">
        <f>'Свод '!AC128+'Свод '!AE128+'Свод '!AM128+'Свод '!AO128+'Свод '!AQ128+'Свод '!BE128+'Свод '!BG128+'Свод '!BI128+'Свод '!BK128+'Свод '!BM128+'Свод '!BO128+'Свод '!BQ128+'Свод '!BS128+'Свод '!BU128+'Свод '!BW128+'Свод '!BY128+'Свод '!CA128+'Свод '!CI128+'Свод '!CK128+'Свод '!CM128+'Свод '!CO128+'Свод '!CQ128+'Свод '!CS128+'Свод '!CU128+'Свод '!CW128+'Свод '!CY128+'Свод '!DA128+'Свод '!DC128+'Свод '!DI128+'Свод '!DO128+'Свод '!DS128+'Свод '!DU128+'Свод '!DW128+'Свод '!DY128+'Свод '!EA128+'Свод '!EC128+'Свод '!EE128+'Свод '!EG128+'Свод '!EI128+'Свод '!EK128+'Свод '!EM128+'Свод '!FK128+'Свод '!FM128+'Свод '!FO128+'Свод '!FQ128+'Свод '!FS128+'Свод '!FU128+'Свод '!FW128+'Свод '!FY128+'Свод '!GA128+'Свод '!GC128+'Свод '!GE128+'Свод '!GG128+'Свод '!GI128+'Свод '!HG128+'Свод '!HI128+'Свод '!HK128+'Свод '!HM128+'Свод '!HO128+'Свод '!HS128+Лист1!C128+Лист1!E128+Лист1!G128+Лист1!I128+Лист1!K128+Лист1!M128+Лист1!O128+Лист1!Q128+'Свод '!DM128</f>
        <v>294.98509</v>
      </c>
      <c r="AL128" s="144">
        <f>'Свод '!AF128+'Свод '!AJ128+'Свод '!BB128+'Свод '!CB128+'Свод '!CD128+'Свод '!EN128+'Свод '!FD128+'Свод '!FF128+'Свод '!GJ128+'Свод '!GL128+'Свод '!GN128+'Свод '!GP128+'Свод '!GR128+'Свод '!GT128+'Свод '!GV128+'Свод '!GX128+'Свод '!HT128+'Свод '!HV128</f>
        <v>147</v>
      </c>
      <c r="AM128" s="42">
        <f>'Свод '!AG128+'Свод '!AK128+'Свод '!BC128+'Свод '!CC128+'Свод '!CE128+'Свод '!EO128+'Свод '!FE128+'Свод '!FG128+'Свод '!GK128+'Свод '!GM128+'Свод '!GO128+'Свод '!GQ128+'Свод '!GS128+'Свод '!GU128+'Свод '!GW128+'Свод '!GY128+'Свод '!HU128+'Свод '!HW128</f>
        <v>147.00000000000003</v>
      </c>
      <c r="AN128" s="42">
        <f>'Свод '!J128+'Свод '!L128+'Свод '!N128+'Свод '!P128+'Свод '!R128+'Свод '!T128+'Свод '!V128+'Свод '!X128+'Свод '!Z128+'Свод '!AR128+'Свод '!AT128+'Свод '!AV128+'Свод '!AX128+'Свод '!DD128+'Свод '!EP128+'Свод '!ER128+'Свод '!ET128+'Свод '!EV128+'Свод '!EX128+'Свод '!EZ128+'Свод '!GZ128+'Свод '!HB128+T128+V128+Z128+AB128</f>
        <v>580.1961</v>
      </c>
      <c r="AO128" s="42">
        <f>'Свод '!K128+'Свод '!M128+'Свод '!O128+'Свод '!Q128+'Свод '!S128+'Свод '!U128+'Свод '!W128+'Свод '!Y128+'Свод '!AA128+'Свод '!AS128+'Свод '!AU128+'Свод '!AW128+'Свод '!AY128+'Свод '!DE128+'Свод '!EQ128+'Свод '!ES128+'Свод '!EU128+'Свод '!EW128+'Свод '!EY128+'Свод '!FA128+'Свод '!HA128+'Свод '!HC128+U128+W128+AA128+AC128</f>
        <v>577.34998</v>
      </c>
    </row>
    <row r="129" spans="1:41" ht="12.75">
      <c r="A129" s="111" t="s">
        <v>276</v>
      </c>
      <c r="B129" s="104"/>
      <c r="C129" s="42"/>
      <c r="D129" s="40"/>
      <c r="E129" s="40"/>
      <c r="F129" s="43"/>
      <c r="G129" s="46"/>
      <c r="H129" s="40"/>
      <c r="I129" s="40"/>
      <c r="J129" s="112"/>
      <c r="K129" s="42"/>
      <c r="L129" s="40"/>
      <c r="M129" s="40"/>
      <c r="N129" s="40"/>
      <c r="O129" s="40"/>
      <c r="P129" s="40"/>
      <c r="Q129" s="40"/>
      <c r="R129" s="42">
        <f t="shared" si="8"/>
        <v>0</v>
      </c>
      <c r="S129" s="42">
        <f t="shared" si="9"/>
        <v>0</v>
      </c>
      <c r="T129" s="42"/>
      <c r="U129" s="42"/>
      <c r="V129" s="40"/>
      <c r="W129" s="40"/>
      <c r="X129" s="42">
        <f t="shared" si="10"/>
        <v>0</v>
      </c>
      <c r="Y129" s="42">
        <f t="shared" si="11"/>
        <v>0</v>
      </c>
      <c r="Z129" s="42"/>
      <c r="AA129" s="42"/>
      <c r="AB129" s="40"/>
      <c r="AC129" s="40"/>
      <c r="AD129" s="42">
        <f t="shared" si="12"/>
        <v>0</v>
      </c>
      <c r="AE129" s="42">
        <f t="shared" si="13"/>
        <v>0</v>
      </c>
      <c r="AF129" s="42">
        <f>'Свод '!AH129+'Свод '!AZ129+'Свод '!BB129+'Свод '!CF129+'Свод '!DF129+'Свод '!DJ129+'Свод '!DP129+'Свод '!FB129+'Свод '!FH129+'Свод '!HD129+'Свод '!HP129+'Свод '!HX129+Лист1!R129+Лист1!AD129+X129</f>
        <v>1116.33654</v>
      </c>
      <c r="AG129" s="42">
        <f>'Свод '!AI129+'Свод '!BA129+'Свод '!BC129+'Свод '!CG129+'Свод '!DG129+'Свод '!DK129+'Свод '!DQ129+'Свод '!FC129+'Свод '!FI129+'Свод '!HE129+'Свод '!HQ129+'Свод '!HY129+Лист1!S129+Лист1!AE129+Y129</f>
        <v>1116.33654</v>
      </c>
      <c r="AH129" s="42">
        <f>'Свод '!B129+'Свод '!D129+'Свод '!F129+'Свод '!H129</f>
        <v>729.0000000000001</v>
      </c>
      <c r="AI129" s="42">
        <f>'Свод '!C129+'Свод '!E129+'Свод '!G129+'Свод '!I129</f>
        <v>729.0000000000001</v>
      </c>
      <c r="AJ129" s="39">
        <f>'Свод '!AB129+'Свод '!AD129+'Свод '!AL129+'Свод '!AN129+'Свод '!AP129+'Свод '!BD129+'Свод '!BF129+'Свод '!BH129+'Свод '!BJ129+'Свод '!BL129+'Свод '!BN129+'Свод '!BP129+'Свод '!BR129+'Свод '!BT129+'Свод '!BV129+'Свод '!BX129+'Свод '!BZ129+'Свод '!CH129+'Свод '!CJ129+'Свод '!CL129+'Свод '!CN129+'Свод '!CP129+'Свод '!CR129+'Свод '!CT129+'Свод '!CV129+'Свод '!CX129+'Свод '!CZ129+'Свод '!DB129+'Свод '!DH129+'Свод '!DN129+'Свод '!DR129+'Свод '!DT129+'Свод '!DV129+'Свод '!DX129+'Свод '!DZ129+'Свод '!EB129+'Свод '!ED129+'Свод '!EF129+'Свод '!EH129+'Свод '!EJ129+'Свод '!EL129+'Свод '!FJ129+'Свод '!FL129+'Свод '!FN129+'Свод '!FP129+'Свод '!FR129+'Свод '!FT129+'Свод '!FV129+'Свод '!FX129+'Свод '!FZ129+'Свод '!GB129+'Свод '!GD129+'Свод '!GF129+'Свод '!GH129+'Свод '!HF129+'Свод '!HH129+'Свод '!HJ129+'Свод '!HL129+'Свод '!HN129+'Свод '!HR129+Лист1!B129+Лист1!D129+Лист1!F129+Лист1!H129+Лист1!J129+Лист1!L129+Лист1!N129+Лист1!P129+'Свод '!DL129</f>
        <v>0</v>
      </c>
      <c r="AK129" s="39">
        <f>'Свод '!AC129+'Свод '!AE129+'Свод '!AM129+'Свод '!AO129+'Свод '!AQ129+'Свод '!BE129+'Свод '!BG129+'Свод '!BI129+'Свод '!BK129+'Свод '!BM129+'Свод '!BO129+'Свод '!BQ129+'Свод '!BS129+'Свод '!BU129+'Свод '!BW129+'Свод '!BY129+'Свод '!CA129+'Свод '!CI129+'Свод '!CK129+'Свод '!CM129+'Свод '!CO129+'Свод '!CQ129+'Свод '!CS129+'Свод '!CU129+'Свод '!CW129+'Свод '!CY129+'Свод '!DA129+'Свод '!DC129+'Свод '!DI129+'Свод '!DO129+'Свод '!DS129+'Свод '!DU129+'Свод '!DW129+'Свод '!DY129+'Свод '!EA129+'Свод '!EC129+'Свод '!EE129+'Свод '!EG129+'Свод '!EI129+'Свод '!EK129+'Свод '!EM129+'Свод '!FK129+'Свод '!FM129+'Свод '!FO129+'Свод '!FQ129+'Свод '!FS129+'Свод '!FU129+'Свод '!FW129+'Свод '!FY129+'Свод '!GA129+'Свод '!GC129+'Свод '!GE129+'Свод '!GG129+'Свод '!GI129+'Свод '!HG129+'Свод '!HI129+'Свод '!HK129+'Свод '!HM129+'Свод '!HO129+'Свод '!HS129+Лист1!C129+Лист1!E129+Лист1!G129+Лист1!I129+Лист1!K129+Лист1!M129+Лист1!O129+Лист1!Q129+'Свод '!DM129</f>
        <v>0</v>
      </c>
      <c r="AL129" s="144">
        <f>'Свод '!AF129+'Свод '!AJ129+'Свод '!BB129+'Свод '!CB129+'Свод '!CD129+'Свод '!EN129+'Свод '!FD129+'Свод '!FF129+'Свод '!GJ129+'Свод '!GL129+'Свод '!GN129+'Свод '!GP129+'Свод '!GR129+'Свод '!GT129+'Свод '!GV129+'Свод '!GX129+'Свод '!HT129+'Свод '!HV129</f>
        <v>73</v>
      </c>
      <c r="AM129" s="42">
        <f>'Свод '!AG129+'Свод '!AK129+'Свод '!BC129+'Свод '!CC129+'Свод '!CE129+'Свод '!EO129+'Свод '!FE129+'Свод '!FG129+'Свод '!GK129+'Свод '!GM129+'Свод '!GO129+'Свод '!GQ129+'Свод '!GS129+'Свод '!GU129+'Свод '!GW129+'Свод '!GY129+'Свод '!HU129+'Свод '!HW129</f>
        <v>73</v>
      </c>
      <c r="AN129" s="42">
        <f>'Свод '!J129+'Свод '!L129+'Свод '!N129+'Свод '!P129+'Свод '!R129+'Свод '!T129+'Свод '!V129+'Свод '!X129+'Свод '!Z129+'Свод '!AR129+'Свод '!AT129+'Свод '!AV129+'Свод '!AX129+'Свод '!DD129+'Свод '!EP129+'Свод '!ER129+'Свод '!ET129+'Свод '!EV129+'Свод '!EX129+'Свод '!EZ129+'Свод '!GZ129+'Свод '!HB129+T129+V129+Z129+AB129</f>
        <v>314.33654</v>
      </c>
      <c r="AO129" s="42">
        <f>'Свод '!K129+'Свод '!M129+'Свод '!O129+'Свод '!Q129+'Свод '!S129+'Свод '!U129+'Свод '!W129+'Свод '!Y129+'Свод '!AA129+'Свод '!AS129+'Свод '!AU129+'Свод '!AW129+'Свод '!AY129+'Свод '!DE129+'Свод '!EQ129+'Свод '!ES129+'Свод '!EU129+'Свод '!EW129+'Свод '!EY129+'Свод '!FA129+'Свод '!HA129+'Свод '!HC129+U129+W129+AA129+AC129</f>
        <v>314.33654</v>
      </c>
    </row>
    <row r="130" spans="1:41" ht="12.75" customHeight="1">
      <c r="A130" s="111" t="s">
        <v>277</v>
      </c>
      <c r="B130" s="104"/>
      <c r="C130" s="42"/>
      <c r="D130" s="40"/>
      <c r="E130" s="40"/>
      <c r="F130" s="43"/>
      <c r="G130" s="46"/>
      <c r="H130" s="40"/>
      <c r="I130" s="40"/>
      <c r="J130" s="112"/>
      <c r="K130" s="42"/>
      <c r="L130" s="40"/>
      <c r="M130" s="40"/>
      <c r="N130" s="40"/>
      <c r="O130" s="40"/>
      <c r="P130" s="40"/>
      <c r="Q130" s="40"/>
      <c r="R130" s="42">
        <f t="shared" si="8"/>
        <v>0</v>
      </c>
      <c r="S130" s="42">
        <f t="shared" si="9"/>
        <v>0</v>
      </c>
      <c r="T130" s="42"/>
      <c r="U130" s="42"/>
      <c r="V130" s="40"/>
      <c r="W130" s="40"/>
      <c r="X130" s="42">
        <f t="shared" si="10"/>
        <v>0</v>
      </c>
      <c r="Y130" s="42">
        <f t="shared" si="11"/>
        <v>0</v>
      </c>
      <c r="Z130" s="42"/>
      <c r="AA130" s="42"/>
      <c r="AB130" s="40"/>
      <c r="AC130" s="40"/>
      <c r="AD130" s="42">
        <f t="shared" si="12"/>
        <v>0</v>
      </c>
      <c r="AE130" s="42">
        <f t="shared" si="13"/>
        <v>0</v>
      </c>
      <c r="AF130" s="42">
        <f>'Свод '!AH130+'Свод '!AZ130+'Свод '!BB130+'Свод '!CF130+'Свод '!DF130+'Свод '!DJ130+'Свод '!DP130+'Свод '!FB130+'Свод '!FH130+'Свод '!HD130+'Свод '!HP130+'Свод '!HX130+Лист1!R130+Лист1!AD130+X130</f>
        <v>4812.200699999999</v>
      </c>
      <c r="AG130" s="42">
        <f>'Свод '!AI130+'Свод '!BA130+'Свод '!BC130+'Свод '!CG130+'Свод '!DG130+'Свод '!DK130+'Свод '!DQ130+'Свод '!FC130+'Свод '!FI130+'Свод '!HE130+'Свод '!HQ130+'Свод '!HY130+Лист1!S130+Лист1!AE130+Y130</f>
        <v>4811.06599</v>
      </c>
      <c r="AH130" s="42">
        <f>'Свод '!B130+'Свод '!D130+'Свод '!F130+'Свод '!H130</f>
        <v>2151</v>
      </c>
      <c r="AI130" s="42">
        <f>'Свод '!C130+'Свод '!E130+'Свод '!G130+'Свод '!I130</f>
        <v>2151</v>
      </c>
      <c r="AJ130" s="39">
        <f>'Свод '!AB130+'Свод '!AD130+'Свод '!AL130+'Свод '!AN130+'Свод '!AP130+'Свод '!BD130+'Свод '!BF130+'Свод '!BH130+'Свод '!BJ130+'Свод '!BL130+'Свод '!BN130+'Свод '!BP130+'Свод '!BR130+'Свод '!BT130+'Свод '!BV130+'Свод '!BX130+'Свод '!BZ130+'Свод '!CH130+'Свод '!CJ130+'Свод '!CL130+'Свод '!CN130+'Свод '!CP130+'Свод '!CR130+'Свод '!CT130+'Свод '!CV130+'Свод '!CX130+'Свод '!CZ130+'Свод '!DB130+'Свод '!DH130+'Свод '!DN130+'Свод '!DR130+'Свод '!DT130+'Свод '!DV130+'Свод '!DX130+'Свод '!DZ130+'Свод '!EB130+'Свод '!ED130+'Свод '!EF130+'Свод '!EH130+'Свод '!EJ130+'Свод '!EL130+'Свод '!FJ130+'Свод '!FL130+'Свод '!FN130+'Свод '!FP130+'Свод '!FR130+'Свод '!FT130+'Свод '!FV130+'Свод '!FX130+'Свод '!FZ130+'Свод '!GB130+'Свод '!GD130+'Свод '!GF130+'Свод '!GH130+'Свод '!HF130+'Свод '!HH130+'Свод '!HJ130+'Свод '!HL130+'Свод '!HN130+'Свод '!HR130+Лист1!B130+Лист1!D130+Лист1!F130+Лист1!H130+Лист1!J130+Лист1!L130+Лист1!N130+Лист1!P130+'Свод '!DL130</f>
        <v>2364.5</v>
      </c>
      <c r="AK130" s="39">
        <f>'Свод '!AC130+'Свод '!AE130+'Свод '!AM130+'Свод '!AO130+'Свод '!AQ130+'Свод '!BE130+'Свод '!BG130+'Свод '!BI130+'Свод '!BK130+'Свод '!BM130+'Свод '!BO130+'Свод '!BQ130+'Свод '!BS130+'Свод '!BU130+'Свод '!BW130+'Свод '!BY130+'Свод '!CA130+'Свод '!CI130+'Свод '!CK130+'Свод '!CM130+'Свод '!CO130+'Свод '!CQ130+'Свод '!CS130+'Свод '!CU130+'Свод '!CW130+'Свод '!CY130+'Свод '!DA130+'Свод '!DC130+'Свод '!DI130+'Свод '!DO130+'Свод '!DS130+'Свод '!DU130+'Свод '!DW130+'Свод '!DY130+'Свод '!EA130+'Свод '!EC130+'Свод '!EE130+'Свод '!EG130+'Свод '!EI130+'Свод '!EK130+'Свод '!EM130+'Свод '!FK130+'Свод '!FM130+'Свод '!FO130+'Свод '!FQ130+'Свод '!FS130+'Свод '!FU130+'Свод '!FW130+'Свод '!FY130+'Свод '!GA130+'Свод '!GC130+'Свод '!GE130+'Свод '!GG130+'Свод '!GI130+'Свод '!HG130+'Свод '!HI130+'Свод '!HK130+'Свод '!HM130+'Свод '!HO130+'Свод '!HS130+Лист1!C130+Лист1!E130+Лист1!G130+Лист1!I130+Лист1!K130+Лист1!M130+Лист1!O130+Лист1!Q130+'Свод '!DM130</f>
        <v>2364.397</v>
      </c>
      <c r="AL130" s="144">
        <f>'Свод '!AF130+'Свод '!AJ130+'Свод '!BB130+'Свод '!CB130+'Свод '!CD130+'Свод '!EN130+'Свод '!FD130+'Свод '!FF130+'Свод '!GJ130+'Свод '!GL130+'Свод '!GN130+'Свод '!GP130+'Свод '!GR130+'Свод '!GT130+'Свод '!GV130+'Свод '!GX130+'Свод '!HT130+'Свод '!HV130</f>
        <v>73</v>
      </c>
      <c r="AM130" s="42">
        <f>'Свод '!AG130+'Свод '!AK130+'Свод '!BC130+'Свод '!CC130+'Свод '!CE130+'Свод '!EO130+'Свод '!FE130+'Свод '!FG130+'Свод '!GK130+'Свод '!GM130+'Свод '!GO130+'Свод '!GQ130+'Свод '!GS130+'Свод '!GU130+'Свод '!GW130+'Свод '!GY130+'Свод '!HU130+'Свод '!HW130</f>
        <v>73</v>
      </c>
      <c r="AN130" s="42">
        <f>'Свод '!J130+'Свод '!L130+'Свод '!N130+'Свод '!P130+'Свод '!R130+'Свод '!T130+'Свод '!V130+'Свод '!X130+'Свод '!Z130+'Свод '!AR130+'Свод '!AT130+'Свод '!AV130+'Свод '!AX130+'Свод '!DD130+'Свод '!EP130+'Свод '!ER130+'Свод '!ET130+'Свод '!EV130+'Свод '!EX130+'Свод '!EZ130+'Свод '!GZ130+'Свод '!HB130+T130+V130+Z130+AB130</f>
        <v>223.7007</v>
      </c>
      <c r="AO130" s="42">
        <f>'Свод '!K130+'Свод '!M130+'Свод '!O130+'Свод '!Q130+'Свод '!S130+'Свод '!U130+'Свод '!W130+'Свод '!Y130+'Свод '!AA130+'Свод '!AS130+'Свод '!AU130+'Свод '!AW130+'Свод '!AY130+'Свод '!DE130+'Свод '!EQ130+'Свод '!ES130+'Свод '!EU130+'Свод '!EW130+'Свод '!EY130+'Свод '!FA130+'Свод '!HA130+'Свод '!HC130+U130+W130+AA130+AC130</f>
        <v>222.66899</v>
      </c>
    </row>
    <row r="131" spans="1:41" ht="12.75">
      <c r="A131" s="111" t="s">
        <v>278</v>
      </c>
      <c r="B131" s="104"/>
      <c r="C131" s="42"/>
      <c r="D131" s="40"/>
      <c r="E131" s="40"/>
      <c r="F131" s="43"/>
      <c r="G131" s="46"/>
      <c r="H131" s="40"/>
      <c r="I131" s="40"/>
      <c r="J131" s="112"/>
      <c r="K131" s="42"/>
      <c r="L131" s="40"/>
      <c r="M131" s="40"/>
      <c r="N131" s="40"/>
      <c r="O131" s="40"/>
      <c r="P131" s="40"/>
      <c r="Q131" s="40"/>
      <c r="R131" s="42">
        <f t="shared" si="8"/>
        <v>0</v>
      </c>
      <c r="S131" s="42">
        <f t="shared" si="9"/>
        <v>0</v>
      </c>
      <c r="T131" s="42"/>
      <c r="U131" s="42"/>
      <c r="V131" s="40"/>
      <c r="W131" s="40"/>
      <c r="X131" s="42">
        <f t="shared" si="10"/>
        <v>0</v>
      </c>
      <c r="Y131" s="42">
        <f t="shared" si="11"/>
        <v>0</v>
      </c>
      <c r="Z131" s="42"/>
      <c r="AA131" s="42"/>
      <c r="AB131" s="40"/>
      <c r="AC131" s="40"/>
      <c r="AD131" s="42">
        <f t="shared" si="12"/>
        <v>0</v>
      </c>
      <c r="AE131" s="42">
        <f t="shared" si="13"/>
        <v>0</v>
      </c>
      <c r="AF131" s="42">
        <f>'Свод '!AH131+'Свод '!AZ131+'Свод '!BB131+'Свод '!CF131+'Свод '!DF131+'Свод '!DJ131+'Свод '!DP131+'Свод '!FB131+'Свод '!FH131+'Свод '!HD131+'Свод '!HP131+'Свод '!HX131+Лист1!R131+Лист1!AD131+X131</f>
        <v>2640.96517</v>
      </c>
      <c r="AG131" s="42">
        <f>'Свод '!AI131+'Свод '!BA131+'Свод '!BC131+'Свод '!CG131+'Свод '!DG131+'Свод '!DK131+'Свод '!DQ131+'Свод '!FC131+'Свод '!FI131+'Свод '!HE131+'Свод '!HQ131+'Свод '!HY131+Лист1!S131+Лист1!AE131+Y131</f>
        <v>2640.9037</v>
      </c>
      <c r="AH131" s="42">
        <f>'Свод '!B131+'Свод '!D131+'Свод '!F131+'Свод '!H131</f>
        <v>1654</v>
      </c>
      <c r="AI131" s="42">
        <f>'Свод '!C131+'Свод '!E131+'Свод '!G131+'Свод '!I131</f>
        <v>1654</v>
      </c>
      <c r="AJ131" s="39">
        <f>'Свод '!AB131+'Свод '!AD131+'Свод '!AL131+'Свод '!AN131+'Свод '!AP131+'Свод '!BD131+'Свод '!BF131+'Свод '!BH131+'Свод '!BJ131+'Свод '!BL131+'Свод '!BN131+'Свод '!BP131+'Свод '!BR131+'Свод '!BT131+'Свод '!BV131+'Свод '!BX131+'Свод '!BZ131+'Свод '!CH131+'Свод '!CJ131+'Свод '!CL131+'Свод '!CN131+'Свод '!CP131+'Свод '!CR131+'Свод '!CT131+'Свод '!CV131+'Свод '!CX131+'Свод '!CZ131+'Свод '!DB131+'Свод '!DH131+'Свод '!DN131+'Свод '!DR131+'Свод '!DT131+'Свод '!DV131+'Свод '!DX131+'Свод '!DZ131+'Свод '!EB131+'Свод '!ED131+'Свод '!EF131+'Свод '!EH131+'Свод '!EJ131+'Свод '!EL131+'Свод '!FJ131+'Свод '!FL131+'Свод '!FN131+'Свод '!FP131+'Свод '!FR131+'Свод '!FT131+'Свод '!FV131+'Свод '!FX131+'Свод '!FZ131+'Свод '!GB131+'Свод '!GD131+'Свод '!GF131+'Свод '!GH131+'Свод '!HF131+'Свод '!HH131+'Свод '!HJ131+'Свод '!HL131+'Свод '!HN131+'Свод '!HR131+Лист1!B131+Лист1!D131+Лист1!F131+Лист1!H131+Лист1!J131+Лист1!L131+Лист1!N131+Лист1!P131+'Свод '!DL131</f>
        <v>442.9</v>
      </c>
      <c r="AK131" s="39">
        <f>'Свод '!AC131+'Свод '!AE131+'Свод '!AM131+'Свод '!AO131+'Свод '!AQ131+'Свод '!BE131+'Свод '!BG131+'Свод '!BI131+'Свод '!BK131+'Свод '!BM131+'Свод '!BO131+'Свод '!BQ131+'Свод '!BS131+'Свод '!BU131+'Свод '!BW131+'Свод '!BY131+'Свод '!CA131+'Свод '!CI131+'Свод '!CK131+'Свод '!CM131+'Свод '!CO131+'Свод '!CQ131+'Свод '!CS131+'Свод '!CU131+'Свод '!CW131+'Свод '!CY131+'Свод '!DA131+'Свод '!DC131+'Свод '!DI131+'Свод '!DO131+'Свод '!DS131+'Свод '!DU131+'Свод '!DW131+'Свод '!DY131+'Свод '!EA131+'Свод '!EC131+'Свод '!EE131+'Свод '!EG131+'Свод '!EI131+'Свод '!EK131+'Свод '!EM131+'Свод '!FK131+'Свод '!FM131+'Свод '!FO131+'Свод '!FQ131+'Свод '!FS131+'Свод '!FU131+'Свод '!FW131+'Свод '!FY131+'Свод '!GA131+'Свод '!GC131+'Свод '!GE131+'Свод '!GG131+'Свод '!GI131+'Свод '!HG131+'Свод '!HI131+'Свод '!HK131+'Свод '!HM131+'Свод '!HO131+'Свод '!HS131+Лист1!C131+Лист1!E131+Лист1!G131+Лист1!I131+Лист1!K131+Лист1!M131+Лист1!O131+Лист1!Q131+'Свод '!DM131</f>
        <v>442.9</v>
      </c>
      <c r="AL131" s="144">
        <f>'Свод '!AF131+'Свод '!AJ131+'Свод '!BB131+'Свод '!CB131+'Свод '!CD131+'Свод '!EN131+'Свод '!FD131+'Свод '!FF131+'Свод '!GJ131+'Свод '!GL131+'Свод '!GN131+'Свод '!GP131+'Свод '!GR131+'Свод '!GT131+'Свод '!GV131+'Свод '!GX131+'Свод '!HT131+'Свод '!HV131</f>
        <v>73</v>
      </c>
      <c r="AM131" s="42">
        <f>'Свод '!AG131+'Свод '!AK131+'Свод '!BC131+'Свод '!CC131+'Свод '!CE131+'Свод '!EO131+'Свод '!FE131+'Свод '!FG131+'Свод '!GK131+'Свод '!GM131+'Свод '!GO131+'Свод '!GQ131+'Свод '!GS131+'Свод '!GU131+'Свод '!GW131+'Свод '!GY131+'Свод '!HU131+'Свод '!HW131</f>
        <v>73</v>
      </c>
      <c r="AN131" s="42">
        <f>'Свод '!J131+'Свод '!L131+'Свод '!N131+'Свод '!P131+'Свод '!R131+'Свод '!T131+'Свод '!V131+'Свод '!X131+'Свод '!Z131+'Свод '!AR131+'Свод '!AT131+'Свод '!AV131+'Свод '!AX131+'Свод '!DD131+'Свод '!EP131+'Свод '!ER131+'Свод '!ET131+'Свод '!EV131+'Свод '!EX131+'Свод '!EZ131+'Свод '!GZ131+'Свод '!HB131+T131+V131+Z131+AB131</f>
        <v>471.06516999999997</v>
      </c>
      <c r="AO131" s="42">
        <f>'Свод '!K131+'Свод '!M131+'Свод '!O131+'Свод '!Q131+'Свод '!S131+'Свод '!U131+'Свод '!W131+'Свод '!Y131+'Свод '!AA131+'Свод '!AS131+'Свод '!AU131+'Свод '!AW131+'Свод '!AY131+'Свод '!DE131+'Свод '!EQ131+'Свод '!ES131+'Свод '!EU131+'Свод '!EW131+'Свод '!EY131+'Свод '!FA131+'Свод '!HA131+'Свод '!HC131+U131+W131+AA131+AC131</f>
        <v>471.0037</v>
      </c>
    </row>
    <row r="132" spans="1:41" ht="12.75" customHeight="1">
      <c r="A132" s="111" t="s">
        <v>279</v>
      </c>
      <c r="B132" s="104"/>
      <c r="C132" s="42"/>
      <c r="D132" s="40"/>
      <c r="E132" s="40"/>
      <c r="F132" s="43"/>
      <c r="G132" s="46"/>
      <c r="H132" s="40"/>
      <c r="I132" s="40"/>
      <c r="J132" s="112"/>
      <c r="K132" s="42"/>
      <c r="L132" s="40"/>
      <c r="M132" s="40"/>
      <c r="N132" s="40"/>
      <c r="O132" s="40"/>
      <c r="P132" s="40"/>
      <c r="Q132" s="40"/>
      <c r="R132" s="42">
        <f t="shared" si="8"/>
        <v>0</v>
      </c>
      <c r="S132" s="42">
        <f t="shared" si="9"/>
        <v>0</v>
      </c>
      <c r="T132" s="42"/>
      <c r="U132" s="42"/>
      <c r="V132" s="40"/>
      <c r="W132" s="40"/>
      <c r="X132" s="42">
        <f t="shared" si="10"/>
        <v>0</v>
      </c>
      <c r="Y132" s="42">
        <f t="shared" si="11"/>
        <v>0</v>
      </c>
      <c r="Z132" s="42"/>
      <c r="AA132" s="42"/>
      <c r="AB132" s="40"/>
      <c r="AC132" s="40"/>
      <c r="AD132" s="42">
        <f t="shared" si="12"/>
        <v>0</v>
      </c>
      <c r="AE132" s="42">
        <f t="shared" si="13"/>
        <v>0</v>
      </c>
      <c r="AF132" s="42">
        <f>'Свод '!AH132+'Свод '!AZ132+'Свод '!BB132+'Свод '!CF132+'Свод '!DF132+'Свод '!DJ132+'Свод '!DP132+'Свод '!FB132+'Свод '!FH132+'Свод '!HD132+'Свод '!HP132+'Свод '!HX132+Лист1!R132+Лист1!AD132+X132</f>
        <v>2816.53553</v>
      </c>
      <c r="AG132" s="42">
        <f>'Свод '!AI132+'Свод '!BA132+'Свод '!BC132+'Свод '!CG132+'Свод '!DG132+'Свод '!DK132+'Свод '!DQ132+'Свод '!FC132+'Свод '!FI132+'Свод '!HE132+'Свод '!HQ132+'Свод '!HY132+Лист1!S132+Лист1!AE132+Y132</f>
        <v>2327.13954</v>
      </c>
      <c r="AH132" s="42">
        <f>'Свод '!B132+'Свод '!D132+'Свод '!F132+'Свод '!H132</f>
        <v>1430</v>
      </c>
      <c r="AI132" s="42">
        <f>'Свод '!C132+'Свод '!E132+'Свод '!G132+'Свод '!I132</f>
        <v>1430</v>
      </c>
      <c r="AJ132" s="39">
        <f>'Свод '!AB132+'Свод '!AD132+'Свод '!AL132+'Свод '!AN132+'Свод '!AP132+'Свод '!BD132+'Свод '!BF132+'Свод '!BH132+'Свод '!BJ132+'Свод '!BL132+'Свод '!BN132+'Свод '!BP132+'Свод '!BR132+'Свод '!BT132+'Свод '!BV132+'Свод '!BX132+'Свод '!BZ132+'Свод '!CH132+'Свод '!CJ132+'Свод '!CL132+'Свод '!CN132+'Свод '!CP132+'Свод '!CR132+'Свод '!CT132+'Свод '!CV132+'Свод '!CX132+'Свод '!CZ132+'Свод '!DB132+'Свод '!DH132+'Свод '!DN132+'Свод '!DR132+'Свод '!DT132+'Свод '!DV132+'Свод '!DX132+'Свод '!DZ132+'Свод '!EB132+'Свод '!ED132+'Свод '!EF132+'Свод '!EH132+'Свод '!EJ132+'Свод '!EL132+'Свод '!FJ132+'Свод '!FL132+'Свод '!FN132+'Свод '!FP132+'Свод '!FR132+'Свод '!FT132+'Свод '!FV132+'Свод '!FX132+'Свод '!FZ132+'Свод '!GB132+'Свод '!GD132+'Свод '!GF132+'Свод '!GH132+'Свод '!HF132+'Свод '!HH132+'Свод '!HJ132+'Свод '!HL132+'Свод '!HN132+'Свод '!HR132+Лист1!B132+Лист1!D132+Лист1!F132+Лист1!H132+Лист1!J132+Лист1!L132+Лист1!N132+Лист1!P132+'Свод '!DL132</f>
        <v>1301.01</v>
      </c>
      <c r="AK132" s="39">
        <f>'Свод '!AC132+'Свод '!AE132+'Свод '!AM132+'Свод '!AO132+'Свод '!AQ132+'Свод '!BE132+'Свод '!BG132+'Свод '!BI132+'Свод '!BK132+'Свод '!BM132+'Свод '!BO132+'Свод '!BQ132+'Свод '!BS132+'Свод '!BU132+'Свод '!BW132+'Свод '!BY132+'Свод '!CA132+'Свод '!CI132+'Свод '!CK132+'Свод '!CM132+'Свод '!CO132+'Свод '!CQ132+'Свод '!CS132+'Свод '!CU132+'Свод '!CW132+'Свод '!CY132+'Свод '!DA132+'Свод '!DC132+'Свод '!DI132+'Свод '!DO132+'Свод '!DS132+'Свод '!DU132+'Свод '!DW132+'Свод '!DY132+'Свод '!EA132+'Свод '!EC132+'Свод '!EE132+'Свод '!EG132+'Свод '!EI132+'Свод '!EK132+'Свод '!EM132+'Свод '!FK132+'Свод '!FM132+'Свод '!FO132+'Свод '!FQ132+'Свод '!FS132+'Свод '!FU132+'Свод '!FW132+'Свод '!FY132+'Свод '!GA132+'Свод '!GC132+'Свод '!GE132+'Свод '!GG132+'Свод '!GI132+'Свод '!HG132+'Свод '!HI132+'Свод '!HK132+'Свод '!HM132+'Свод '!HO132+'Свод '!HS132+Лист1!C132+Лист1!E132+Лист1!G132+Лист1!I132+Лист1!K132+Лист1!M132+Лист1!O132+Лист1!Q132+'Свод '!DM132</f>
        <v>813.443</v>
      </c>
      <c r="AL132" s="144">
        <f>'Свод '!AF132+'Свод '!AJ132+'Свод '!BB132+'Свод '!CB132+'Свод '!CD132+'Свод '!EN132+'Свод '!FD132+'Свод '!FF132+'Свод '!GJ132+'Свод '!GL132+'Свод '!GN132+'Свод '!GP132+'Свод '!GR132+'Свод '!GT132+'Свод '!GV132+'Свод '!GX132+'Свод '!HT132+'Свод '!HV132</f>
        <v>73</v>
      </c>
      <c r="AM132" s="42">
        <f>'Свод '!AG132+'Свод '!AK132+'Свод '!BC132+'Свод '!CC132+'Свод '!CE132+'Свод '!EO132+'Свод '!FE132+'Свод '!FG132+'Свод '!GK132+'Свод '!GM132+'Свод '!GO132+'Свод '!GQ132+'Свод '!GS132+'Свод '!GU132+'Свод '!GW132+'Свод '!GY132+'Свод '!HU132+'Свод '!HW132</f>
        <v>73</v>
      </c>
      <c r="AN132" s="42">
        <f>'Свод '!J132+'Свод '!L132+'Свод '!N132+'Свод '!P132+'Свод '!R132+'Свод '!T132+'Свод '!V132+'Свод '!X132+'Свод '!Z132+'Свод '!AR132+'Свод '!AT132+'Свод '!AV132+'Свод '!AX132+'Свод '!DD132+'Свод '!EP132+'Свод '!ER132+'Свод '!ET132+'Свод '!EV132+'Свод '!EX132+'Свод '!EZ132+'Свод '!GZ132+'Свод '!HB132+T132+V132+Z132+AB132</f>
        <v>12.52553</v>
      </c>
      <c r="AO132" s="42">
        <f>'Свод '!K132+'Свод '!M132+'Свод '!O132+'Свод '!Q132+'Свод '!S132+'Свод '!U132+'Свод '!W132+'Свод '!Y132+'Свод '!AA132+'Свод '!AS132+'Свод '!AU132+'Свод '!AW132+'Свод '!AY132+'Свод '!DE132+'Свод '!EQ132+'Свод '!ES132+'Свод '!EU132+'Свод '!EW132+'Свод '!EY132+'Свод '!FA132+'Свод '!HA132+'Свод '!HC132+U132+W132+AA132+AC132</f>
        <v>10.69654</v>
      </c>
    </row>
    <row r="133" spans="1:41" ht="12.75">
      <c r="A133" s="111" t="s">
        <v>280</v>
      </c>
      <c r="B133" s="104"/>
      <c r="C133" s="42"/>
      <c r="D133" s="40"/>
      <c r="E133" s="40"/>
      <c r="F133" s="43"/>
      <c r="G133" s="46"/>
      <c r="H133" s="40"/>
      <c r="I133" s="40"/>
      <c r="J133" s="112"/>
      <c r="K133" s="42"/>
      <c r="L133" s="40"/>
      <c r="M133" s="40"/>
      <c r="N133" s="40"/>
      <c r="O133" s="40"/>
      <c r="P133" s="40"/>
      <c r="Q133" s="40"/>
      <c r="R133" s="42">
        <f t="shared" si="8"/>
        <v>0</v>
      </c>
      <c r="S133" s="42">
        <f t="shared" si="9"/>
        <v>0</v>
      </c>
      <c r="T133" s="42"/>
      <c r="U133" s="42"/>
      <c r="V133" s="40"/>
      <c r="W133" s="40"/>
      <c r="X133" s="42">
        <f t="shared" si="10"/>
        <v>0</v>
      </c>
      <c r="Y133" s="42">
        <f t="shared" si="11"/>
        <v>0</v>
      </c>
      <c r="Z133" s="42"/>
      <c r="AA133" s="42"/>
      <c r="AB133" s="40"/>
      <c r="AC133" s="40"/>
      <c r="AD133" s="42">
        <f t="shared" si="12"/>
        <v>0</v>
      </c>
      <c r="AE133" s="42">
        <f t="shared" si="13"/>
        <v>0</v>
      </c>
      <c r="AF133" s="42">
        <f>'Свод '!AH133+'Свод '!AZ133+'Свод '!BB133+'Свод '!CF133+'Свод '!DF133+'Свод '!DJ133+'Свод '!DP133+'Свод '!FB133+'Свод '!FH133+'Свод '!HD133+'Свод '!HP133+'Свод '!HX133+Лист1!R133+Лист1!AD133+X133</f>
        <v>2758.26634</v>
      </c>
      <c r="AG133" s="42">
        <f>'Свод '!AI133+'Свод '!BA133+'Свод '!BC133+'Свод '!CG133+'Свод '!DG133+'Свод '!DK133+'Свод '!DQ133+'Свод '!FC133+'Свод '!FI133+'Свод '!HE133+'Свод '!HQ133+'Свод '!HY133+Лист1!S133+Лист1!AE133+Y133</f>
        <v>2750.0727399999996</v>
      </c>
      <c r="AH133" s="42">
        <f>'Свод '!B133+'Свод '!D133+'Свод '!F133+'Свод '!H133</f>
        <v>1765</v>
      </c>
      <c r="AI133" s="42">
        <f>'Свод '!C133+'Свод '!E133+'Свод '!G133+'Свод '!I133</f>
        <v>1765</v>
      </c>
      <c r="AJ133" s="39">
        <f>'Свод '!AB133+'Свод '!AD133+'Свод '!AL133+'Свод '!AN133+'Свод '!AP133+'Свод '!BD133+'Свод '!BF133+'Свод '!BH133+'Свод '!BJ133+'Свод '!BL133+'Свод '!BN133+'Свод '!BP133+'Свод '!BR133+'Свод '!BT133+'Свод '!BV133+'Свод '!BX133+'Свод '!BZ133+'Свод '!CH133+'Свод '!CJ133+'Свод '!CL133+'Свод '!CN133+'Свод '!CP133+'Свод '!CR133+'Свод '!CT133+'Свод '!CV133+'Свод '!CX133+'Свод '!CZ133+'Свод '!DB133+'Свод '!DH133+'Свод '!DN133+'Свод '!DR133+'Свод '!DT133+'Свод '!DV133+'Свод '!DX133+'Свод '!DZ133+'Свод '!EB133+'Свод '!ED133+'Свод '!EF133+'Свод '!EH133+'Свод '!EJ133+'Свод '!EL133+'Свод '!FJ133+'Свод '!FL133+'Свод '!FN133+'Свод '!FP133+'Свод '!FR133+'Свод '!FT133+'Свод '!FV133+'Свод '!FX133+'Свод '!FZ133+'Свод '!GB133+'Свод '!GD133+'Свод '!GF133+'Свод '!GH133+'Свод '!HF133+'Свод '!HH133+'Свод '!HJ133+'Свод '!HL133+'Свод '!HN133+'Свод '!HR133+Лист1!B133+Лист1!D133+Лист1!F133+Лист1!H133+Лист1!J133+Лист1!L133+Лист1!N133+Лист1!P133+'Свод '!DL133</f>
        <v>522</v>
      </c>
      <c r="AK133" s="39">
        <f>'Свод '!AC133+'Свод '!AE133+'Свод '!AM133+'Свод '!AO133+'Свод '!AQ133+'Свод '!BE133+'Свод '!BG133+'Свод '!BI133+'Свод '!BK133+'Свод '!BM133+'Свод '!BO133+'Свод '!BQ133+'Свод '!BS133+'Свод '!BU133+'Свод '!BW133+'Свод '!BY133+'Свод '!CA133+'Свод '!CI133+'Свод '!CK133+'Свод '!CM133+'Свод '!CO133+'Свод '!CQ133+'Свод '!CS133+'Свод '!CU133+'Свод '!CW133+'Свод '!CY133+'Свод '!DA133+'Свод '!DC133+'Свод '!DI133+'Свод '!DO133+'Свод '!DS133+'Свод '!DU133+'Свод '!DW133+'Свод '!DY133+'Свод '!EA133+'Свод '!EC133+'Свод '!EE133+'Свод '!EG133+'Свод '!EI133+'Свод '!EK133+'Свод '!EM133+'Свод '!FK133+'Свод '!FM133+'Свод '!FO133+'Свод '!FQ133+'Свод '!FS133+'Свод '!FU133+'Свод '!FW133+'Свод '!FY133+'Свод '!GA133+'Свод '!GC133+'Свод '!GE133+'Свод '!GG133+'Свод '!GI133+'Свод '!HG133+'Свод '!HI133+'Свод '!HK133+'Свод '!HM133+'Свод '!HO133+'Свод '!HS133+Лист1!C133+Лист1!E133+Лист1!G133+Лист1!I133+Лист1!K133+Лист1!M133+Лист1!O133+Лист1!Q133+'Свод '!DM133</f>
        <v>514.7</v>
      </c>
      <c r="AL133" s="144">
        <f>'Свод '!AF133+'Свод '!AJ133+'Свод '!BB133+'Свод '!CB133+'Свод '!CD133+'Свод '!EN133+'Свод '!FD133+'Свод '!FF133+'Свод '!GJ133+'Свод '!GL133+'Свод '!GN133+'Свод '!GP133+'Свод '!GR133+'Свод '!GT133+'Свод '!GV133+'Свод '!GX133+'Свод '!HT133+'Свод '!HV133</f>
        <v>147</v>
      </c>
      <c r="AM133" s="42">
        <f>'Свод '!AG133+'Свод '!AK133+'Свод '!BC133+'Свод '!CC133+'Свод '!CE133+'Свод '!EO133+'Свод '!FE133+'Свод '!FG133+'Свод '!GK133+'Свод '!GM133+'Свод '!GO133+'Свод '!GQ133+'Свод '!GS133+'Свод '!GU133+'Свод '!GW133+'Свод '!GY133+'Свод '!HU133+'Свод '!HW133</f>
        <v>147</v>
      </c>
      <c r="AN133" s="42">
        <f>'Свод '!J133+'Свод '!L133+'Свод '!N133+'Свод '!P133+'Свод '!R133+'Свод '!T133+'Свод '!V133+'Свод '!X133+'Свод '!Z133+'Свод '!AR133+'Свод '!AT133+'Свод '!AV133+'Свод '!AX133+'Свод '!DD133+'Свод '!EP133+'Свод '!ER133+'Свод '!ET133+'Свод '!EV133+'Свод '!EX133+'Свод '!EZ133+'Свод '!GZ133+'Свод '!HB133+T133+V133+Z133+AB133</f>
        <v>324.26634</v>
      </c>
      <c r="AO133" s="42">
        <f>'Свод '!K133+'Свод '!M133+'Свод '!O133+'Свод '!Q133+'Свод '!S133+'Свод '!U133+'Свод '!W133+'Свод '!Y133+'Свод '!AA133+'Свод '!AS133+'Свод '!AU133+'Свод '!AW133+'Свод '!AY133+'Свод '!DE133+'Свод '!EQ133+'Свод '!ES133+'Свод '!EU133+'Свод '!EW133+'Свод '!EY133+'Свод '!FA133+'Свод '!HA133+'Свод '!HC133+U133+W133+AA133+AC133</f>
        <v>323.37274</v>
      </c>
    </row>
    <row r="134" spans="1:41" ht="12.75" customHeight="1">
      <c r="A134" s="111" t="s">
        <v>281</v>
      </c>
      <c r="B134" s="104"/>
      <c r="C134" s="42"/>
      <c r="D134" s="40"/>
      <c r="E134" s="40"/>
      <c r="F134" s="43"/>
      <c r="G134" s="46"/>
      <c r="H134" s="40"/>
      <c r="I134" s="40"/>
      <c r="J134" s="112"/>
      <c r="K134" s="42"/>
      <c r="L134" s="40"/>
      <c r="M134" s="40"/>
      <c r="N134" s="40"/>
      <c r="O134" s="40"/>
      <c r="P134" s="40"/>
      <c r="Q134" s="40"/>
      <c r="R134" s="42">
        <f t="shared" si="8"/>
        <v>0</v>
      </c>
      <c r="S134" s="42">
        <f t="shared" si="9"/>
        <v>0</v>
      </c>
      <c r="T134" s="42"/>
      <c r="U134" s="42"/>
      <c r="V134" s="40"/>
      <c r="W134" s="40"/>
      <c r="X134" s="42">
        <f t="shared" si="10"/>
        <v>0</v>
      </c>
      <c r="Y134" s="42">
        <f t="shared" si="11"/>
        <v>0</v>
      </c>
      <c r="Z134" s="42"/>
      <c r="AA134" s="42"/>
      <c r="AB134" s="40"/>
      <c r="AC134" s="40"/>
      <c r="AD134" s="42">
        <f t="shared" si="12"/>
        <v>0</v>
      </c>
      <c r="AE134" s="42">
        <f t="shared" si="13"/>
        <v>0</v>
      </c>
      <c r="AF134" s="42">
        <f>'Свод '!AH134+'Свод '!AZ134+'Свод '!BB134+'Свод '!CF134+'Свод '!DF134+'Свод '!DJ134+'Свод '!DP134+'Свод '!FB134+'Свод '!FH134+'Свод '!HD134+'Свод '!HP134+'Свод '!HX134+Лист1!R134+Лист1!AD134+X134</f>
        <v>2052.82281</v>
      </c>
      <c r="AG134" s="42">
        <f>'Свод '!AI134+'Свод '!BA134+'Свод '!BC134+'Свод '!CG134+'Свод '!DG134+'Свод '!DK134+'Свод '!DQ134+'Свод '!FC134+'Свод '!FI134+'Свод '!HE134+'Свод '!HQ134+'Свод '!HY134+Лист1!S134+Лист1!AE134+Y134</f>
        <v>2030.04356</v>
      </c>
      <c r="AH134" s="42">
        <f>'Свод '!B134+'Свод '!D134+'Свод '!F134+'Свод '!H134</f>
        <v>598.0000000000001</v>
      </c>
      <c r="AI134" s="42">
        <f>'Свод '!C134+'Свод '!E134+'Свод '!G134+'Свод '!I134</f>
        <v>598.0000000000001</v>
      </c>
      <c r="AJ134" s="39">
        <f>'Свод '!AB134+'Свод '!AD134+'Свод '!AL134+'Свод '!AN134+'Свод '!AP134+'Свод '!BD134+'Свод '!BF134+'Свод '!BH134+'Свод '!BJ134+'Свод '!BL134+'Свод '!BN134+'Свод '!BP134+'Свод '!BR134+'Свод '!BT134+'Свод '!BV134+'Свод '!BX134+'Свод '!BZ134+'Свод '!CH134+'Свод '!CJ134+'Свод '!CL134+'Свод '!CN134+'Свод '!CP134+'Свод '!CR134+'Свод '!CT134+'Свод '!CV134+'Свод '!CX134+'Свод '!CZ134+'Свод '!DB134+'Свод '!DH134+'Свод '!DN134+'Свод '!DR134+'Свод '!DT134+'Свод '!DV134+'Свод '!DX134+'Свод '!DZ134+'Свод '!EB134+'Свод '!ED134+'Свод '!EF134+'Свод '!EH134+'Свод '!EJ134+'Свод '!EL134+'Свод '!FJ134+'Свод '!FL134+'Свод '!FN134+'Свод '!FP134+'Свод '!FR134+'Свод '!FT134+'Свод '!FV134+'Свод '!FX134+'Свод '!FZ134+'Свод '!GB134+'Свод '!GD134+'Свод '!GF134+'Свод '!GH134+'Свод '!HF134+'Свод '!HH134+'Свод '!HJ134+'Свод '!HL134+'Свод '!HN134+'Свод '!HR134+Лист1!B134+Лист1!D134+Лист1!F134+Лист1!H134+Лист1!J134+Лист1!L134+Лист1!N134+Лист1!P134+'Свод '!DL134</f>
        <v>622</v>
      </c>
      <c r="AK134" s="39">
        <f>'Свод '!AC134+'Свод '!AE134+'Свод '!AM134+'Свод '!AO134+'Свод '!AQ134+'Свод '!BE134+'Свод '!BG134+'Свод '!BI134+'Свод '!BK134+'Свод '!BM134+'Свод '!BO134+'Свод '!BQ134+'Свод '!BS134+'Свод '!BU134+'Свод '!BW134+'Свод '!BY134+'Свод '!CA134+'Свод '!CI134+'Свод '!CK134+'Свод '!CM134+'Свод '!CO134+'Свод '!CQ134+'Свод '!CS134+'Свод '!CU134+'Свод '!CW134+'Свод '!CY134+'Свод '!DA134+'Свод '!DC134+'Свод '!DI134+'Свод '!DO134+'Свод '!DS134+'Свод '!DU134+'Свод '!DW134+'Свод '!DY134+'Свод '!EA134+'Свод '!EC134+'Свод '!EE134+'Свод '!EG134+'Свод '!EI134+'Свод '!EK134+'Свод '!EM134+'Свод '!FK134+'Свод '!FM134+'Свод '!FO134+'Свод '!FQ134+'Свод '!FS134+'Свод '!FU134+'Свод '!FW134+'Свод '!FY134+'Свод '!GA134+'Свод '!GC134+'Свод '!GE134+'Свод '!GG134+'Свод '!GI134+'Свод '!HG134+'Свод '!HI134+'Свод '!HK134+'Свод '!HM134+'Свод '!HO134+'Свод '!HS134+Лист1!C134+Лист1!E134+Лист1!G134+Лист1!I134+Лист1!K134+Лист1!M134+Лист1!O134+Лист1!Q134+'Свод '!DM134</f>
        <v>600.5</v>
      </c>
      <c r="AL134" s="144">
        <f>'Свод '!AF134+'Свод '!AJ134+'Свод '!BB134+'Свод '!CB134+'Свод '!CD134+'Свод '!EN134+'Свод '!FD134+'Свод '!FF134+'Свод '!GJ134+'Свод '!GL134+'Свод '!GN134+'Свод '!GP134+'Свод '!GR134+'Свод '!GT134+'Свод '!GV134+'Свод '!GX134+'Свод '!HT134+'Свод '!HV134</f>
        <v>73</v>
      </c>
      <c r="AM134" s="42">
        <f>'Свод '!AG134+'Свод '!AK134+'Свод '!BC134+'Свод '!CC134+'Свод '!CE134+'Свод '!EO134+'Свод '!FE134+'Свод '!FG134+'Свод '!GK134+'Свод '!GM134+'Свод '!GO134+'Свод '!GQ134+'Свод '!GS134+'Свод '!GU134+'Свод '!GW134+'Свод '!GY134+'Свод '!HU134+'Свод '!HW134</f>
        <v>73</v>
      </c>
      <c r="AN134" s="42">
        <f>'Свод '!J134+'Свод '!L134+'Свод '!N134+'Свод '!P134+'Свод '!R134+'Свод '!T134+'Свод '!V134+'Свод '!X134+'Свод '!Z134+'Свод '!AR134+'Свод '!AT134+'Свод '!AV134+'Свод '!AX134+'Свод '!DD134+'Свод '!EP134+'Свод '!ER134+'Свод '!ET134+'Свод '!EV134+'Свод '!EX134+'Свод '!EZ134+'Свод '!GZ134+'Свод '!HB134+T134+V134+Z134+AB134</f>
        <v>759.82281</v>
      </c>
      <c r="AO134" s="42">
        <f>'Свод '!K134+'Свод '!M134+'Свод '!O134+'Свод '!Q134+'Свод '!S134+'Свод '!U134+'Свод '!W134+'Свод '!Y134+'Свод '!AA134+'Свод '!AS134+'Свод '!AU134+'Свод '!AW134+'Свод '!AY134+'Свод '!DE134+'Свод '!EQ134+'Свод '!ES134+'Свод '!EU134+'Свод '!EW134+'Свод '!EY134+'Свод '!FA134+'Свод '!HA134+'Свод '!HC134+U134+W134+AA134+AC134</f>
        <v>758.54356</v>
      </c>
    </row>
    <row r="135" spans="1:41" ht="12.75">
      <c r="A135" s="108" t="s">
        <v>122</v>
      </c>
      <c r="B135" s="104">
        <v>1235</v>
      </c>
      <c r="C135" s="42">
        <v>994.792</v>
      </c>
      <c r="D135" s="40">
        <f>SUM(D136:D143)</f>
        <v>0</v>
      </c>
      <c r="E135" s="40">
        <f>SUM(E136:E143)</f>
        <v>0</v>
      </c>
      <c r="F135" s="43">
        <v>144</v>
      </c>
      <c r="G135" s="46">
        <v>122.44409</v>
      </c>
      <c r="H135" s="40">
        <f>SUM(H136:H143)</f>
        <v>0</v>
      </c>
      <c r="I135" s="40">
        <f>SUM(I136:I143)</f>
        <v>0</v>
      </c>
      <c r="J135" s="104">
        <v>0</v>
      </c>
      <c r="K135" s="42">
        <v>0</v>
      </c>
      <c r="L135" s="47">
        <v>0</v>
      </c>
      <c r="M135" s="47">
        <v>0</v>
      </c>
      <c r="N135" s="47">
        <f>SUM(N136:N143)</f>
        <v>0</v>
      </c>
      <c r="O135" s="47">
        <f>SUM(O136:O143)</f>
        <v>0</v>
      </c>
      <c r="P135" s="47">
        <f>SUM(P136:P143)</f>
        <v>0</v>
      </c>
      <c r="Q135" s="47">
        <f>SUM(Q136:Q143)</f>
        <v>0</v>
      </c>
      <c r="R135" s="42">
        <f t="shared" si="8"/>
        <v>1379</v>
      </c>
      <c r="S135" s="42">
        <f t="shared" si="9"/>
        <v>1117.23609</v>
      </c>
      <c r="T135" s="42">
        <v>0</v>
      </c>
      <c r="U135" s="42">
        <v>0</v>
      </c>
      <c r="V135" s="40">
        <v>0</v>
      </c>
      <c r="W135" s="40">
        <v>0</v>
      </c>
      <c r="X135" s="42">
        <f t="shared" si="10"/>
        <v>0</v>
      </c>
      <c r="Y135" s="42">
        <f t="shared" si="11"/>
        <v>0</v>
      </c>
      <c r="Z135" s="42">
        <v>655.2</v>
      </c>
      <c r="AA135" s="42">
        <v>655.2</v>
      </c>
      <c r="AB135" s="40">
        <v>0</v>
      </c>
      <c r="AC135" s="40">
        <v>0</v>
      </c>
      <c r="AD135" s="42">
        <f t="shared" si="12"/>
        <v>655.2</v>
      </c>
      <c r="AE135" s="42">
        <f t="shared" si="13"/>
        <v>655.2</v>
      </c>
      <c r="AF135" s="42">
        <f>'Свод '!AH135+'Свод '!AZ135+'Свод '!BB135+'Свод '!CF135+'Свод '!DF135+'Свод '!DJ135+'Свод '!DP135+'Свод '!FB135+'Свод '!FH135+'Свод '!HD135+'Свод '!HP135+'Свод '!HX135+Лист1!R135+Лист1!AD135+X135</f>
        <v>575370.1696599999</v>
      </c>
      <c r="AG135" s="42">
        <f>'Свод '!AI135+'Свод '!BA135+'Свод '!BC135+'Свод '!CG135+'Свод '!DG135+'Свод '!DK135+'Свод '!DQ135+'Свод '!FC135+'Свод '!FI135+'Свод '!HE135+'Свод '!HQ135+'Свод '!HY135+Лист1!S135+Лист1!AE135+Y135</f>
        <v>559871.2151299999</v>
      </c>
      <c r="AH135" s="42">
        <f>'Свод '!B135+'Свод '!D135+'Свод '!F135+'Свод '!H135</f>
        <v>162548</v>
      </c>
      <c r="AI135" s="42">
        <f>'Свод '!C135+'Свод '!E135+'Свод '!G135+'Свод '!I135</f>
        <v>162548</v>
      </c>
      <c r="AJ135" s="39">
        <f>'Свод '!AB135+'Свод '!AD135+'Свод '!AL135+'Свод '!AN135+'Свод '!AP135+'Свод '!BD135+'Свод '!BF135+'Свод '!BH135+'Свод '!BJ135+'Свод '!BL135+'Свод '!BN135+'Свод '!BP135+'Свод '!BR135+'Свод '!BT135+'Свод '!BV135+'Свод '!BX135+'Свод '!BZ135+'Свод '!CH135+'Свод '!CJ135+'Свод '!CL135+'Свод '!CN135+'Свод '!CP135+'Свод '!CR135+'Свод '!CT135+'Свод '!CV135+'Свод '!CX135+'Свод '!CZ135+'Свод '!DB135+'Свод '!DH135+'Свод '!DN135+'Свод '!DR135+'Свод '!DT135+'Свод '!DV135+'Свод '!DX135+'Свод '!DZ135+'Свод '!EB135+'Свод '!ED135+'Свод '!EF135+'Свод '!EH135+'Свод '!EJ135+'Свод '!EL135+'Свод '!FJ135+'Свод '!FL135+'Свод '!FN135+'Свод '!FP135+'Свод '!FR135+'Свод '!FT135+'Свод '!FV135+'Свод '!FX135+'Свод '!FZ135+'Свод '!GB135+'Свод '!GD135+'Свод '!GF135+'Свод '!GH135+'Свод '!HF135+'Свод '!HH135+'Свод '!HJ135+'Свод '!HL135+'Свод '!HN135+'Свод '!HR135+Лист1!B135+Лист1!D135+Лист1!F135+Лист1!H135+Лист1!J135+Лист1!L135+Лист1!N135+Лист1!P135+'Свод '!DL135</f>
        <v>84633.398</v>
      </c>
      <c r="AK135" s="39">
        <f>'Свод '!AC135+'Свод '!AE135+'Свод '!AM135+'Свод '!AO135+'Свод '!AQ135+'Свод '!BE135+'Свод '!BG135+'Свод '!BI135+'Свод '!BK135+'Свод '!BM135+'Свод '!BO135+'Свод '!BQ135+'Свод '!BS135+'Свод '!BU135+'Свод '!BW135+'Свод '!BY135+'Свод '!CA135+'Свод '!CI135+'Свод '!CK135+'Свод '!CM135+'Свод '!CO135+'Свод '!CQ135+'Свод '!CS135+'Свод '!CU135+'Свод '!CW135+'Свод '!CY135+'Свод '!DA135+'Свод '!DC135+'Свод '!DI135+'Свод '!DO135+'Свод '!DS135+'Свод '!DU135+'Свод '!DW135+'Свод '!DY135+'Свод '!EA135+'Свод '!EC135+'Свод '!EE135+'Свод '!EG135+'Свод '!EI135+'Свод '!EK135+'Свод '!EM135+'Свод '!FK135+'Свод '!FM135+'Свод '!FO135+'Свод '!FQ135+'Свод '!FS135+'Свод '!FU135+'Свод '!FW135+'Свод '!FY135+'Свод '!GA135+'Свод '!GC135+'Свод '!GE135+'Свод '!GG135+'Свод '!GI135+'Свод '!HG135+'Свод '!HI135+'Свод '!HK135+'Свод '!HM135+'Свод '!HO135+'Свод '!HS135+Лист1!C135+Лист1!E135+Лист1!G135+Лист1!I135+Лист1!K135+Лист1!M135+Лист1!O135+Лист1!Q135+'Свод '!DM135</f>
        <v>69672.11809000002</v>
      </c>
      <c r="AL135" s="144">
        <f>'Свод '!AF135+'Свод '!AJ135+'Свод '!BB135+'Свод '!CB135+'Свод '!CD135+'Свод '!EN135+'Свод '!FD135+'Свод '!FF135+'Свод '!GJ135+'Свод '!GL135+'Свод '!GN135+'Свод '!GP135+'Свод '!GR135+'Свод '!GT135+'Свод '!GV135+'Свод '!GX135+'Свод '!HT135+'Свод '!HV135</f>
        <v>298908.635</v>
      </c>
      <c r="AM135" s="42">
        <f>'Свод '!AG135+'Свод '!AK135+'Свод '!BC135+'Свод '!CC135+'Свод '!CE135+'Свод '!EO135+'Свод '!FE135+'Свод '!FG135+'Свод '!GK135+'Свод '!GM135+'Свод '!GO135+'Свод '!GQ135+'Свод '!GS135+'Свод '!GU135+'Свод '!GW135+'Свод '!GY135+'Свод '!HU135+'Свод '!HW135</f>
        <v>298904.435</v>
      </c>
      <c r="AN135" s="42">
        <f>'Свод '!J135+'Свод '!L135+'Свод '!N135+'Свод '!P135+'Свод '!R135+'Свод '!T135+'Свод '!V135+'Свод '!X135+'Свод '!Z135+'Свод '!AR135+'Свод '!AT135+'Свод '!AV135+'Свод '!AX135+'Свод '!DD135+'Свод '!EP135+'Свод '!ER135+'Свод '!ET135+'Свод '!EV135+'Свод '!EX135+'Свод '!EZ135+'Свод '!GZ135+'Свод '!HB135+T135+V135+Z135+AB135</f>
        <v>29280.136659999996</v>
      </c>
      <c r="AO135" s="42">
        <f>'Свод '!K135+'Свод '!M135+'Свод '!O135+'Свод '!Q135+'Свод '!S135+'Свод '!U135+'Свод '!W135+'Свод '!Y135+'Свод '!AA135+'Свод '!AS135+'Свод '!AU135+'Свод '!AW135+'Свод '!AY135+'Свод '!DE135+'Свод '!EQ135+'Свод '!ES135+'Свод '!EU135+'Свод '!EW135+'Свод '!EY135+'Свод '!FA135+'Свод '!HA135+'Свод '!HC135+U135+W135+AA135+AC135</f>
        <v>28746.662039999996</v>
      </c>
    </row>
    <row r="136" spans="1:41" ht="12.75" customHeight="1">
      <c r="A136" s="103" t="s">
        <v>156</v>
      </c>
      <c r="B136" s="104">
        <v>1235</v>
      </c>
      <c r="C136" s="42">
        <v>994.792</v>
      </c>
      <c r="D136" s="40"/>
      <c r="E136" s="40"/>
      <c r="F136" s="43">
        <v>144</v>
      </c>
      <c r="G136" s="42">
        <v>122.44409</v>
      </c>
      <c r="H136" s="40"/>
      <c r="I136" s="40"/>
      <c r="J136" s="105"/>
      <c r="K136" s="42"/>
      <c r="L136" s="40"/>
      <c r="M136" s="40"/>
      <c r="N136" s="40"/>
      <c r="O136" s="40"/>
      <c r="P136" s="40"/>
      <c r="Q136" s="40"/>
      <c r="R136" s="42">
        <f t="shared" si="8"/>
        <v>1379</v>
      </c>
      <c r="S136" s="42">
        <f t="shared" si="9"/>
        <v>1117.23609</v>
      </c>
      <c r="T136" s="42"/>
      <c r="U136" s="42"/>
      <c r="V136" s="40"/>
      <c r="W136" s="40"/>
      <c r="X136" s="42">
        <f t="shared" si="10"/>
        <v>0</v>
      </c>
      <c r="Y136" s="42">
        <f t="shared" si="11"/>
        <v>0</v>
      </c>
      <c r="Z136" s="42">
        <v>655.2</v>
      </c>
      <c r="AA136" s="42">
        <v>655.2</v>
      </c>
      <c r="AB136" s="40"/>
      <c r="AC136" s="40"/>
      <c r="AD136" s="42">
        <f t="shared" si="12"/>
        <v>655.2</v>
      </c>
      <c r="AE136" s="42">
        <f t="shared" si="13"/>
        <v>655.2</v>
      </c>
      <c r="AF136" s="42">
        <f>'Свод '!AH136+'Свод '!AZ136+'Свод '!BB136+'Свод '!CF136+'Свод '!DF136+'Свод '!DJ136+'Свод '!DP136+'Свод '!FB136+'Свод '!FH136+'Свод '!HD136+'Свод '!HP136+'Свод '!HX136+Лист1!R136+Лист1!AD136+X136</f>
        <v>518067.141</v>
      </c>
      <c r="AG136" s="42">
        <f>'Свод '!AI136+'Свод '!BA136+'Свод '!BC136+'Свод '!CG136+'Свод '!DG136+'Свод '!DK136+'Свод '!DQ136+'Свод '!FC136+'Свод '!FI136+'Свод '!HE136+'Свод '!HQ136+'Свод '!HY136+Лист1!S136+Лист1!AE136+Y136</f>
        <v>503558.10409</v>
      </c>
      <c r="AH136" s="42">
        <f>'Свод '!B136+'Свод '!D136+'Свод '!F136+'Свод '!H136</f>
        <v>139234</v>
      </c>
      <c r="AI136" s="42">
        <f>'Свод '!C136+'Свод '!E136+'Свод '!G136+'Свод '!I136</f>
        <v>139234</v>
      </c>
      <c r="AJ136" s="39">
        <f>'Свод '!AB136+'Свод '!AD136+'Свод '!AL136+'Свод '!AN136+'Свод '!AP136+'Свод '!BD136+'Свод '!BF136+'Свод '!BH136+'Свод '!BJ136+'Свод '!BL136+'Свод '!BN136+'Свод '!BP136+'Свод '!BR136+'Свод '!BT136+'Свод '!BV136+'Свод '!BX136+'Свод '!BZ136+'Свод '!CH136+'Свод '!CJ136+'Свод '!CL136+'Свод '!CN136+'Свод '!CP136+'Свод '!CR136+'Свод '!CT136+'Свод '!CV136+'Свод '!CX136+'Свод '!CZ136+'Свод '!DB136+'Свод '!DH136+'Свод '!DN136+'Свод '!DR136+'Свод '!DT136+'Свод '!DV136+'Свод '!DX136+'Свод '!DZ136+'Свод '!EB136+'Свод '!ED136+'Свод '!EF136+'Свод '!EH136+'Свод '!EJ136+'Свод '!EL136+'Свод '!FJ136+'Свод '!FL136+'Свод '!FN136+'Свод '!FP136+'Свод '!FR136+'Свод '!FT136+'Свод '!FV136+'Свод '!FX136+'Свод '!FZ136+'Свод '!GB136+'Свод '!GD136+'Свод '!GF136+'Свод '!GH136+'Свод '!HF136+'Свод '!HH136+'Свод '!HJ136+'Свод '!HL136+'Свод '!HN136+'Свод '!HR136+Лист1!B136+Лист1!D136+Лист1!F136+Лист1!H136+Лист1!J136+Лист1!L136+Лист1!N136+Лист1!P136+'Свод '!DL136</f>
        <v>70318.006</v>
      </c>
      <c r="AK136" s="39">
        <f>'Свод '!AC136+'Свод '!AE136+'Свод '!AM136+'Свод '!AO136+'Свод '!AQ136+'Свод '!BE136+'Свод '!BG136+'Свод '!BI136+'Свод '!BK136+'Свод '!BM136+'Свод '!BO136+'Свод '!BQ136+'Свод '!BS136+'Свод '!BU136+'Свод '!BW136+'Свод '!BY136+'Свод '!CA136+'Свод '!CI136+'Свод '!CK136+'Свод '!CM136+'Свод '!CO136+'Свод '!CQ136+'Свод '!CS136+'Свод '!CU136+'Свод '!CW136+'Свод '!CY136+'Свод '!DA136+'Свод '!DC136+'Свод '!DI136+'Свод '!DO136+'Свод '!DS136+'Свод '!DU136+'Свод '!DW136+'Свод '!DY136+'Свод '!EA136+'Свод '!EC136+'Свод '!EE136+'Свод '!EG136+'Свод '!EI136+'Свод '!EK136+'Свод '!EM136+'Свод '!FK136+'Свод '!FM136+'Свод '!FO136+'Свод '!FQ136+'Свод '!FS136+'Свод '!FU136+'Свод '!FW136+'Свод '!FY136+'Свод '!GA136+'Свод '!GC136+'Свод '!GE136+'Свод '!GG136+'Свод '!GI136+'Свод '!HG136+'Свод '!HI136+'Свод '!HK136+'Свод '!HM136+'Свод '!HO136+'Свод '!HS136+Лист1!C136+Лист1!E136+Лист1!G136+Лист1!I136+Лист1!K136+Лист1!M136+Лист1!O136+Лист1!Q136+'Свод '!DM136</f>
        <v>55813.169089999996</v>
      </c>
      <c r="AL136" s="144">
        <f>'Свод '!AF136+'Свод '!AJ136+'Свод '!BB136+'Свод '!CB136+'Свод '!CD136+'Свод '!EN136+'Свод '!FD136+'Свод '!FF136+'Свод '!GJ136+'Свод '!GL136+'Свод '!GN136+'Свод '!GP136+'Свод '!GR136+'Свод '!GT136+'Свод '!GV136+'Свод '!GX136+'Свод '!HT136+'Свод '!HV136</f>
        <v>298026.635</v>
      </c>
      <c r="AM136" s="42">
        <f>'Свод '!AG136+'Свод '!AK136+'Свод '!BC136+'Свод '!CC136+'Свод '!CE136+'Свод '!EO136+'Свод '!FE136+'Свод '!FG136+'Свод '!GK136+'Свод '!GM136+'Свод '!GO136+'Свод '!GQ136+'Свод '!GS136+'Свод '!GU136+'Свод '!GW136+'Свод '!GY136+'Свод '!HU136+'Свод '!HW136</f>
        <v>298022.435</v>
      </c>
      <c r="AN136" s="42">
        <f>'Свод '!J136+'Свод '!L136+'Свод '!N136+'Свод '!P136+'Свод '!R136+'Свод '!T136+'Свод '!V136+'Свод '!X136+'Свод '!Z136+'Свод '!AR136+'Свод '!AT136+'Свод '!AV136+'Свод '!AX136+'Свод '!DD136+'Свод '!EP136+'Свод '!ER136+'Свод '!ET136+'Свод '!EV136+'Свод '!EX136+'Свод '!EZ136+'Свод '!GZ136+'Свод '!HB136+T136+V136+Z136+AB136</f>
        <v>10488.500000000002</v>
      </c>
      <c r="AO136" s="42">
        <f>'Свод '!K136+'Свод '!M136+'Свод '!O136+'Свод '!Q136+'Свод '!S136+'Свод '!U136+'Свод '!W136+'Свод '!Y136+'Свод '!AA136+'Свод '!AS136+'Свод '!AU136+'Свод '!AW136+'Свод '!AY136+'Свод '!DE136+'Свод '!EQ136+'Свод '!ES136+'Свод '!EU136+'Свод '!EW136+'Свод '!EY136+'Свод '!FA136+'Свод '!HA136+'Свод '!HC136+U136+W136+AA136+AC136</f>
        <v>10488.500000000002</v>
      </c>
    </row>
    <row r="137" spans="1:41" ht="12.75">
      <c r="A137" s="109" t="s">
        <v>220</v>
      </c>
      <c r="B137" s="104"/>
      <c r="C137" s="42"/>
      <c r="D137" s="40"/>
      <c r="E137" s="40"/>
      <c r="F137" s="43"/>
      <c r="G137" s="46"/>
      <c r="H137" s="40"/>
      <c r="I137" s="40"/>
      <c r="J137" s="110"/>
      <c r="K137" s="42"/>
      <c r="L137" s="40"/>
      <c r="M137" s="40"/>
      <c r="N137" s="40"/>
      <c r="O137" s="40"/>
      <c r="P137" s="40"/>
      <c r="Q137" s="40"/>
      <c r="R137" s="42">
        <f t="shared" si="8"/>
        <v>0</v>
      </c>
      <c r="S137" s="42">
        <f t="shared" si="9"/>
        <v>0</v>
      </c>
      <c r="T137" s="42"/>
      <c r="U137" s="42"/>
      <c r="V137" s="40"/>
      <c r="W137" s="40"/>
      <c r="X137" s="42">
        <f t="shared" si="10"/>
        <v>0</v>
      </c>
      <c r="Y137" s="42">
        <f t="shared" si="11"/>
        <v>0</v>
      </c>
      <c r="Z137" s="42"/>
      <c r="AA137" s="42"/>
      <c r="AB137" s="40"/>
      <c r="AC137" s="40"/>
      <c r="AD137" s="42">
        <f t="shared" si="12"/>
        <v>0</v>
      </c>
      <c r="AE137" s="42">
        <f t="shared" si="13"/>
        <v>0</v>
      </c>
      <c r="AF137" s="42">
        <f>'Свод '!AH137+'Свод '!AZ137+'Свод '!BB137+'Свод '!CF137+'Свод '!DF137+'Свод '!DJ137+'Свод '!DP137+'Свод '!FB137+'Свод '!FH137+'Свод '!HD137+'Свод '!HP137+'Свод '!HX137+Лист1!R137+Лист1!AD137+X137</f>
        <v>20629.12957</v>
      </c>
      <c r="AG137" s="42">
        <f>'Свод '!AI137+'Свод '!BA137+'Свод '!BC137+'Свод '!CG137+'Свод '!DG137+'Свод '!DK137+'Свод '!DQ137+'Свод '!FC137+'Свод '!FI137+'Свод '!HE137+'Свод '!HQ137+'Свод '!HY137+Лист1!S137+Лист1!AE137+Y137</f>
        <v>19810.375719999996</v>
      </c>
      <c r="AH137" s="42">
        <f>'Свод '!B137+'Свод '!D137+'Свод '!F137+'Свод '!H137</f>
        <v>1921</v>
      </c>
      <c r="AI137" s="42">
        <f>'Свод '!C137+'Свод '!E137+'Свод '!G137+'Свод '!I137</f>
        <v>1921</v>
      </c>
      <c r="AJ137" s="39">
        <f>'Свод '!AB137+'Свод '!AD137+'Свод '!AL137+'Свод '!AN137+'Свод '!AP137+'Свод '!BD137+'Свод '!BF137+'Свод '!BH137+'Свод '!BJ137+'Свод '!BL137+'Свод '!BN137+'Свод '!BP137+'Свод '!BR137+'Свод '!BT137+'Свод '!BV137+'Свод '!BX137+'Свод '!BZ137+'Свод '!CH137+'Свод '!CJ137+'Свод '!CL137+'Свод '!CN137+'Свод '!CP137+'Свод '!CR137+'Свод '!CT137+'Свод '!CV137+'Свод '!CX137+'Свод '!CZ137+'Свод '!DB137+'Свод '!DH137+'Свод '!DN137+'Свод '!DR137+'Свод '!DT137+'Свод '!DV137+'Свод '!DX137+'Свод '!DZ137+'Свод '!EB137+'Свод '!ED137+'Свод '!EF137+'Свод '!EH137+'Свод '!EJ137+'Свод '!EL137+'Свод '!FJ137+'Свод '!FL137+'Свод '!FN137+'Свод '!FP137+'Свод '!FR137+'Свод '!FT137+'Свод '!FV137+'Свод '!FX137+'Свод '!FZ137+'Свод '!GB137+'Свод '!GD137+'Свод '!GF137+'Свод '!GH137+'Свод '!HF137+'Свод '!HH137+'Свод '!HJ137+'Свод '!HL137+'Свод '!HN137+'Свод '!HR137+Лист1!B137+Лист1!D137+Лист1!F137+Лист1!H137+Лист1!J137+Лист1!L137+Лист1!N137+Лист1!P137+'Свод '!DL137</f>
        <v>11026.392</v>
      </c>
      <c r="AK137" s="39">
        <f>'Свод '!AC137+'Свод '!AE137+'Свод '!AM137+'Свод '!AO137+'Свод '!AQ137+'Свод '!BE137+'Свод '!BG137+'Свод '!BI137+'Свод '!BK137+'Свод '!BM137+'Свод '!BO137+'Свод '!BQ137+'Свод '!BS137+'Свод '!BU137+'Свод '!BW137+'Свод '!BY137+'Свод '!CA137+'Свод '!CI137+'Свод '!CK137+'Свод '!CM137+'Свод '!CO137+'Свод '!CQ137+'Свод '!CS137+'Свод '!CU137+'Свод '!CW137+'Свод '!CY137+'Свод '!DA137+'Свод '!DC137+'Свод '!DI137+'Свод '!DO137+'Свод '!DS137+'Свод '!DU137+'Свод '!DW137+'Свод '!DY137+'Свод '!EA137+'Свод '!EC137+'Свод '!EE137+'Свод '!EG137+'Свод '!EI137+'Свод '!EK137+'Свод '!EM137+'Свод '!FK137+'Свод '!FM137+'Свод '!FO137+'Свод '!FQ137+'Свод '!FS137+'Свод '!FU137+'Свод '!FW137+'Свод '!FY137+'Свод '!GA137+'Свод '!GC137+'Свод '!GE137+'Свод '!GG137+'Свод '!GI137+'Свод '!HG137+'Свод '!HI137+'Свод '!HK137+'Свод '!HM137+'Свод '!HO137+'Свод '!HS137+Лист1!C137+Лист1!E137+Лист1!G137+Лист1!I137+Лист1!K137+Лист1!M137+Лист1!O137+Лист1!Q137+'Свод '!DM137</f>
        <v>10607.992</v>
      </c>
      <c r="AL137" s="144">
        <f>'Свод '!AF137+'Свод '!AJ137+'Свод '!BB137+'Свод '!CB137+'Свод '!CD137+'Свод '!EN137+'Свод '!FD137+'Свод '!FF137+'Свод '!GJ137+'Свод '!GL137+'Свод '!GN137+'Свод '!GP137+'Свод '!GR137+'Свод '!GT137+'Свод '!GV137+'Свод '!GX137+'Свод '!HT137+'Свод '!HV137</f>
        <v>0</v>
      </c>
      <c r="AM137" s="42">
        <f>'Свод '!AG137+'Свод '!AK137+'Свод '!BC137+'Свод '!CC137+'Свод '!CE137+'Свод '!EO137+'Свод '!FE137+'Свод '!FG137+'Свод '!GK137+'Свод '!GM137+'Свод '!GO137+'Свод '!GQ137+'Свод '!GS137+'Свод '!GU137+'Свод '!GW137+'Свод '!GY137+'Свод '!HU137+'Свод '!HW137</f>
        <v>0</v>
      </c>
      <c r="AN137" s="42">
        <f>'Свод '!J137+'Свод '!L137+'Свод '!N137+'Свод '!P137+'Свод '!R137+'Свод '!T137+'Свод '!V137+'Свод '!X137+'Свод '!Z137+'Свод '!AR137+'Свод '!AT137+'Свод '!AV137+'Свод '!AX137+'Свод '!DD137+'Свод '!EP137+'Свод '!ER137+'Свод '!ET137+'Свод '!EV137+'Свод '!EX137+'Свод '!EZ137+'Свод '!GZ137+'Свод '!HB137+T137+V137+Z137+AB137</f>
        <v>7681.73757</v>
      </c>
      <c r="AO137" s="42">
        <f>'Свод '!K137+'Свод '!M137+'Свод '!O137+'Свод '!Q137+'Свод '!S137+'Свод '!U137+'Свод '!W137+'Свод '!Y137+'Свод '!AA137+'Свод '!AS137+'Свод '!AU137+'Свод '!AW137+'Свод '!AY137+'Свод '!DE137+'Свод '!EQ137+'Свод '!ES137+'Свод '!EU137+'Свод '!EW137+'Свод '!EY137+'Свод '!FA137+'Свод '!HA137+'Свод '!HC137+U137+W137+AA137+AC137</f>
        <v>7281.38372</v>
      </c>
    </row>
    <row r="138" spans="1:41" ht="12.75" customHeight="1">
      <c r="A138" s="109" t="s">
        <v>223</v>
      </c>
      <c r="B138" s="104"/>
      <c r="C138" s="42"/>
      <c r="D138" s="40"/>
      <c r="E138" s="40"/>
      <c r="F138" s="43"/>
      <c r="G138" s="46"/>
      <c r="H138" s="40"/>
      <c r="I138" s="40"/>
      <c r="J138" s="110"/>
      <c r="K138" s="42"/>
      <c r="L138" s="40"/>
      <c r="M138" s="40"/>
      <c r="N138" s="40"/>
      <c r="O138" s="40"/>
      <c r="P138" s="40"/>
      <c r="Q138" s="40"/>
      <c r="R138" s="42">
        <f t="shared" si="8"/>
        <v>0</v>
      </c>
      <c r="S138" s="42">
        <f t="shared" si="9"/>
        <v>0</v>
      </c>
      <c r="T138" s="42"/>
      <c r="U138" s="42"/>
      <c r="V138" s="40"/>
      <c r="W138" s="40"/>
      <c r="X138" s="42">
        <f t="shared" si="10"/>
        <v>0</v>
      </c>
      <c r="Y138" s="42">
        <f t="shared" si="11"/>
        <v>0</v>
      </c>
      <c r="Z138" s="42"/>
      <c r="AA138" s="42"/>
      <c r="AB138" s="40"/>
      <c r="AC138" s="40"/>
      <c r="AD138" s="42">
        <f t="shared" si="12"/>
        <v>0</v>
      </c>
      <c r="AE138" s="42">
        <f t="shared" si="13"/>
        <v>0</v>
      </c>
      <c r="AF138" s="42">
        <f>'Свод '!AH138+'Свод '!AZ138+'Свод '!BB138+'Свод '!CF138+'Свод '!DF138+'Свод '!DJ138+'Свод '!DP138+'Свод '!FB138+'Свод '!FH138+'Свод '!HD138+'Свод '!HP138+'Свод '!HX138+Лист1!R138+Лист1!AD138+X138</f>
        <v>8474.85566</v>
      </c>
      <c r="AG138" s="42">
        <f>'Свод '!AI138+'Свод '!BA138+'Свод '!BC138+'Свод '!CG138+'Свод '!DG138+'Свод '!DK138+'Свод '!DQ138+'Свод '!FC138+'Свод '!FI138+'Свод '!HE138+'Свод '!HQ138+'Свод '!HY138+Лист1!S138+Лист1!AE138+Y138</f>
        <v>8469.92614</v>
      </c>
      <c r="AH138" s="42">
        <f>'Свод '!B138+'Свод '!D138+'Свод '!F138+'Свод '!H138</f>
        <v>5457</v>
      </c>
      <c r="AI138" s="42">
        <f>'Свод '!C138+'Свод '!E138+'Свод '!G138+'Свод '!I138</f>
        <v>5457</v>
      </c>
      <c r="AJ138" s="39">
        <f>'Свод '!AB138+'Свод '!AD138+'Свод '!AL138+'Свод '!AN138+'Свод '!AP138+'Свод '!BD138+'Свод '!BF138+'Свод '!BH138+'Свод '!BJ138+'Свод '!BL138+'Свод '!BN138+'Свод '!BP138+'Свод '!BR138+'Свод '!BT138+'Свод '!BV138+'Свод '!BX138+'Свод '!BZ138+'Свод '!CH138+'Свод '!CJ138+'Свод '!CL138+'Свод '!CN138+'Свод '!CP138+'Свод '!CR138+'Свод '!CT138+'Свод '!CV138+'Свод '!CX138+'Свод '!CZ138+'Свод '!DB138+'Свод '!DH138+'Свод '!DN138+'Свод '!DR138+'Свод '!DT138+'Свод '!DV138+'Свод '!DX138+'Свод '!DZ138+'Свод '!EB138+'Свод '!ED138+'Свод '!EF138+'Свод '!EH138+'Свод '!EJ138+'Свод '!EL138+'Свод '!FJ138+'Свод '!FL138+'Свод '!FN138+'Свод '!FP138+'Свод '!FR138+'Свод '!FT138+'Свод '!FV138+'Свод '!FX138+'Свод '!FZ138+'Свод '!GB138+'Свод '!GD138+'Свод '!GF138+'Свод '!GH138+'Свод '!HF138+'Свод '!HH138+'Свод '!HJ138+'Свод '!HL138+'Свод '!HN138+'Свод '!HR138+Лист1!B138+Лист1!D138+Лист1!F138+Лист1!H138+Лист1!J138+Лист1!L138+Лист1!N138+Лист1!P138+'Свод '!DL138</f>
        <v>71.8</v>
      </c>
      <c r="AK138" s="39">
        <f>'Свод '!AC138+'Свод '!AE138+'Свод '!AM138+'Свод '!AO138+'Свод '!AQ138+'Свод '!BE138+'Свод '!BG138+'Свод '!BI138+'Свод '!BK138+'Свод '!BM138+'Свод '!BO138+'Свод '!BQ138+'Свод '!BS138+'Свод '!BU138+'Свод '!BW138+'Свод '!BY138+'Свод '!CA138+'Свод '!CI138+'Свод '!CK138+'Свод '!CM138+'Свод '!CO138+'Свод '!CQ138+'Свод '!CS138+'Свод '!CU138+'Свод '!CW138+'Свод '!CY138+'Свод '!DA138+'Свод '!DC138+'Свод '!DI138+'Свод '!DO138+'Свод '!DS138+'Свод '!DU138+'Свод '!DW138+'Свод '!DY138+'Свод '!EA138+'Свод '!EC138+'Свод '!EE138+'Свод '!EG138+'Свод '!EI138+'Свод '!EK138+'Свод '!EM138+'Свод '!FK138+'Свод '!FM138+'Свод '!FO138+'Свод '!FQ138+'Свод '!FS138+'Свод '!FU138+'Свод '!FW138+'Свод '!FY138+'Свод '!GA138+'Свод '!GC138+'Свод '!GE138+'Свод '!GG138+'Свод '!GI138+'Свод '!HG138+'Свод '!HI138+'Свод '!HK138+'Свод '!HM138+'Свод '!HO138+'Свод '!HS138+Лист1!C138+Лист1!E138+Лист1!G138+Лист1!I138+Лист1!K138+Лист1!M138+Лист1!O138+Лист1!Q138+'Свод '!DM138</f>
        <v>68.067</v>
      </c>
      <c r="AL138" s="144">
        <f>'Свод '!AF138+'Свод '!AJ138+'Свод '!BB138+'Свод '!CB138+'Свод '!CD138+'Свод '!EN138+'Свод '!FD138+'Свод '!FF138+'Свод '!GJ138+'Свод '!GL138+'Свод '!GN138+'Свод '!GP138+'Свод '!GR138+'Свод '!GT138+'Свод '!GV138+'Свод '!GX138+'Свод '!HT138+'Свод '!HV138</f>
        <v>147</v>
      </c>
      <c r="AM138" s="42">
        <f>'Свод '!AG138+'Свод '!AK138+'Свод '!BC138+'Свод '!CC138+'Свод '!CE138+'Свод '!EO138+'Свод '!FE138+'Свод '!FG138+'Свод '!GK138+'Свод '!GM138+'Свод '!GO138+'Свод '!GQ138+'Свод '!GS138+'Свод '!GU138+'Свод '!GW138+'Свод '!GY138+'Свод '!HU138+'Свод '!HW138</f>
        <v>147</v>
      </c>
      <c r="AN138" s="42">
        <f>'Свод '!J138+'Свод '!L138+'Свод '!N138+'Свод '!P138+'Свод '!R138+'Свод '!T138+'Свод '!V138+'Свод '!X138+'Свод '!Z138+'Свод '!AR138+'Свод '!AT138+'Свод '!AV138+'Свод '!AX138+'Свод '!DD138+'Свод '!EP138+'Свод '!ER138+'Свод '!ET138+'Свод '!EV138+'Свод '!EX138+'Свод '!EZ138+'Свод '!GZ138+'Свод '!HB138+T138+V138+Z138+AB138</f>
        <v>2799.05566</v>
      </c>
      <c r="AO138" s="42">
        <f>'Свод '!K138+'Свод '!M138+'Свод '!O138+'Свод '!Q138+'Свод '!S138+'Свод '!U138+'Свод '!W138+'Свод '!Y138+'Свод '!AA138+'Свод '!AS138+'Свод '!AU138+'Свод '!AW138+'Свод '!AY138+'Свод '!DE138+'Свод '!EQ138+'Свод '!ES138+'Свод '!EU138+'Свод '!EW138+'Свод '!EY138+'Свод '!FA138+'Свод '!HA138+'Свод '!HC138+U138+W138+AA138+AC138</f>
        <v>2797.85914</v>
      </c>
    </row>
    <row r="139" spans="1:41" ht="12.75">
      <c r="A139" s="109" t="s">
        <v>282</v>
      </c>
      <c r="B139" s="104"/>
      <c r="C139" s="42"/>
      <c r="D139" s="40"/>
      <c r="E139" s="40"/>
      <c r="F139" s="43"/>
      <c r="G139" s="46"/>
      <c r="H139" s="40"/>
      <c r="I139" s="40"/>
      <c r="J139" s="110"/>
      <c r="K139" s="42"/>
      <c r="L139" s="40"/>
      <c r="M139" s="40"/>
      <c r="N139" s="40"/>
      <c r="O139" s="40"/>
      <c r="P139" s="40"/>
      <c r="Q139" s="40"/>
      <c r="R139" s="42">
        <f t="shared" si="8"/>
        <v>0</v>
      </c>
      <c r="S139" s="42">
        <f t="shared" si="9"/>
        <v>0</v>
      </c>
      <c r="T139" s="42"/>
      <c r="U139" s="42"/>
      <c r="V139" s="40"/>
      <c r="W139" s="40"/>
      <c r="X139" s="42">
        <f t="shared" si="10"/>
        <v>0</v>
      </c>
      <c r="Y139" s="42">
        <f t="shared" si="11"/>
        <v>0</v>
      </c>
      <c r="Z139" s="42"/>
      <c r="AA139" s="42"/>
      <c r="AB139" s="40"/>
      <c r="AC139" s="40"/>
      <c r="AD139" s="42">
        <f t="shared" si="12"/>
        <v>0</v>
      </c>
      <c r="AE139" s="42">
        <f t="shared" si="13"/>
        <v>0</v>
      </c>
      <c r="AF139" s="42">
        <f>'Свод '!AH139+'Свод '!AZ139+'Свод '!BB139+'Свод '!CF139+'Свод '!DF139+'Свод '!DJ139+'Свод '!DP139+'Свод '!FB139+'Свод '!FH139+'Свод '!HD139+'Свод '!HP139+'Свод '!HX139+Лист1!R139+Лист1!AD139+X139</f>
        <v>4360.5</v>
      </c>
      <c r="AG139" s="42">
        <f>'Свод '!AI139+'Свод '!BA139+'Свод '!BC139+'Свод '!CG139+'Свод '!DG139+'Свод '!DK139+'Свод '!DQ139+'Свод '!FC139+'Свод '!FI139+'Свод '!HE139+'Свод '!HQ139+'Свод '!HY139+Лист1!S139+Лист1!AE139+Y139</f>
        <v>4342.4580000000005</v>
      </c>
      <c r="AH139" s="42">
        <f>'Свод '!B139+'Свод '!D139+'Свод '!F139+'Свод '!H139</f>
        <v>2278</v>
      </c>
      <c r="AI139" s="42">
        <f>'Свод '!C139+'Свод '!E139+'Свод '!G139+'Свод '!I139</f>
        <v>2278</v>
      </c>
      <c r="AJ139" s="39">
        <f>'Свод '!AB139+'Свод '!AD139+'Свод '!AL139+'Свод '!AN139+'Свод '!AP139+'Свод '!BD139+'Свод '!BF139+'Свод '!BH139+'Свод '!BJ139+'Свод '!BL139+'Свод '!BN139+'Свод '!BP139+'Свод '!BR139+'Свод '!BT139+'Свод '!BV139+'Свод '!BX139+'Свод '!BZ139+'Свод '!CH139+'Свод '!CJ139+'Свод '!CL139+'Свод '!CN139+'Свод '!CP139+'Свод '!CR139+'Свод '!CT139+'Свод '!CV139+'Свод '!CX139+'Свод '!CZ139+'Свод '!DB139+'Свод '!DH139+'Свод '!DN139+'Свод '!DR139+'Свод '!DT139+'Свод '!DV139+'Свод '!DX139+'Свод '!DZ139+'Свод '!EB139+'Свод '!ED139+'Свод '!EF139+'Свод '!EH139+'Свод '!EJ139+'Свод '!EL139+'Свод '!FJ139+'Свод '!FL139+'Свод '!FN139+'Свод '!FP139+'Свод '!FR139+'Свод '!FT139+'Свод '!FV139+'Свод '!FX139+'Свод '!FZ139+'Свод '!GB139+'Свод '!GD139+'Свод '!GF139+'Свод '!GH139+'Свод '!HF139+'Свод '!HH139+'Свод '!HJ139+'Свод '!HL139+'Свод '!HN139+'Свод '!HR139+Лист1!B139+Лист1!D139+Лист1!F139+Лист1!H139+Лист1!J139+Лист1!L139+Лист1!N139+Лист1!P139+'Свод '!DL139</f>
        <v>691.5</v>
      </c>
      <c r="AK139" s="39">
        <f>'Свод '!AC139+'Свод '!AE139+'Свод '!AM139+'Свод '!AO139+'Свод '!AQ139+'Свод '!BE139+'Свод '!BG139+'Свод '!BI139+'Свод '!BK139+'Свод '!BM139+'Свод '!BO139+'Свод '!BQ139+'Свод '!BS139+'Свод '!BU139+'Свод '!BW139+'Свод '!BY139+'Свод '!CA139+'Свод '!CI139+'Свод '!CK139+'Свод '!CM139+'Свод '!CO139+'Свод '!CQ139+'Свод '!CS139+'Свод '!CU139+'Свод '!CW139+'Свод '!CY139+'Свод '!DA139+'Свод '!DC139+'Свод '!DI139+'Свод '!DO139+'Свод '!DS139+'Свод '!DU139+'Свод '!DW139+'Свод '!DY139+'Свод '!EA139+'Свод '!EC139+'Свод '!EE139+'Свод '!EG139+'Свод '!EI139+'Свод '!EK139+'Свод '!EM139+'Свод '!FK139+'Свод '!FM139+'Свод '!FO139+'Свод '!FQ139+'Свод '!FS139+'Свод '!FU139+'Свод '!FW139+'Свод '!FY139+'Свод '!GA139+'Свод '!GC139+'Свод '!GE139+'Свод '!GG139+'Свод '!GI139+'Свод '!HG139+'Свод '!HI139+'Свод '!HK139+'Свод '!HM139+'Свод '!HO139+'Свод '!HS139+Лист1!C139+Лист1!E139+Лист1!G139+Лист1!I139+Лист1!K139+Лист1!M139+Лист1!O139+Лист1!Q139+'Свод '!DM139</f>
        <v>673.4580000000001</v>
      </c>
      <c r="AL139" s="144">
        <f>'Свод '!AF139+'Свод '!AJ139+'Свод '!BB139+'Свод '!CB139+'Свод '!CD139+'Свод '!EN139+'Свод '!FD139+'Свод '!FF139+'Свод '!GJ139+'Свод '!GL139+'Свод '!GN139+'Свод '!GP139+'Свод '!GR139+'Свод '!GT139+'Свод '!GV139+'Свод '!GX139+'Свод '!HT139+'Свод '!HV139</f>
        <v>147</v>
      </c>
      <c r="AM139" s="42">
        <f>'Свод '!AG139+'Свод '!AK139+'Свод '!BC139+'Свод '!CC139+'Свод '!CE139+'Свод '!EO139+'Свод '!FE139+'Свод '!FG139+'Свод '!GK139+'Свод '!GM139+'Свод '!GO139+'Свод '!GQ139+'Свод '!GS139+'Свод '!GU139+'Свод '!GW139+'Свод '!GY139+'Свод '!HU139+'Свод '!HW139</f>
        <v>146.99999999999997</v>
      </c>
      <c r="AN139" s="42">
        <f>'Свод '!J139+'Свод '!L139+'Свод '!N139+'Свод '!P139+'Свод '!R139+'Свод '!T139+'Свод '!V139+'Свод '!X139+'Свод '!Z139+'Свод '!AR139+'Свод '!AT139+'Свод '!AV139+'Свод '!AX139+'Свод '!DD139+'Свод '!EP139+'Свод '!ER139+'Свод '!ET139+'Свод '!EV139+'Свод '!EX139+'Свод '!EZ139+'Свод '!GZ139+'Свод '!HB139+T139+V139+Z139+AB139</f>
        <v>1244</v>
      </c>
      <c r="AO139" s="42">
        <f>'Свод '!K139+'Свод '!M139+'Свод '!O139+'Свод '!Q139+'Свод '!S139+'Свод '!U139+'Свод '!W139+'Свод '!Y139+'Свод '!AA139+'Свод '!AS139+'Свод '!AU139+'Свод '!AW139+'Свод '!AY139+'Свод '!DE139+'Свод '!EQ139+'Свод '!ES139+'Свод '!EU139+'Свод '!EW139+'Свод '!EY139+'Свод '!FA139+'Свод '!HA139+'Свод '!HC139+U139+W139+AA139+AC139</f>
        <v>1244</v>
      </c>
    </row>
    <row r="140" spans="1:41" ht="12.75" customHeight="1">
      <c r="A140" s="109" t="s">
        <v>283</v>
      </c>
      <c r="B140" s="104"/>
      <c r="C140" s="42"/>
      <c r="D140" s="40"/>
      <c r="E140" s="40"/>
      <c r="F140" s="43"/>
      <c r="G140" s="46"/>
      <c r="H140" s="40"/>
      <c r="I140" s="40"/>
      <c r="J140" s="110"/>
      <c r="K140" s="42"/>
      <c r="L140" s="40"/>
      <c r="M140" s="40"/>
      <c r="N140" s="40"/>
      <c r="O140" s="40"/>
      <c r="P140" s="40"/>
      <c r="Q140" s="40"/>
      <c r="R140" s="42">
        <f t="shared" si="8"/>
        <v>0</v>
      </c>
      <c r="S140" s="42">
        <f t="shared" si="9"/>
        <v>0</v>
      </c>
      <c r="T140" s="42"/>
      <c r="U140" s="42"/>
      <c r="V140" s="40"/>
      <c r="W140" s="40"/>
      <c r="X140" s="42">
        <f t="shared" si="10"/>
        <v>0</v>
      </c>
      <c r="Y140" s="42">
        <f t="shared" si="11"/>
        <v>0</v>
      </c>
      <c r="Z140" s="42"/>
      <c r="AA140" s="42"/>
      <c r="AB140" s="40"/>
      <c r="AC140" s="40"/>
      <c r="AD140" s="42">
        <f t="shared" si="12"/>
        <v>0</v>
      </c>
      <c r="AE140" s="42">
        <f t="shared" si="13"/>
        <v>0</v>
      </c>
      <c r="AF140" s="42">
        <f>'Свод '!AH140+'Свод '!AZ140+'Свод '!BB140+'Свод '!CF140+'Свод '!DF140+'Свод '!DJ140+'Свод '!DP140+'Свод '!FB140+'Свод '!FH140+'Свод '!HD140+'Свод '!HP140+'Свод '!HX140+Лист1!R140+Лист1!AD140+X140</f>
        <v>5224.322789999999</v>
      </c>
      <c r="AG140" s="42">
        <f>'Свод '!AI140+'Свод '!BA140+'Свод '!BC140+'Свод '!CG140+'Свод '!DG140+'Свод '!DK140+'Свод '!DQ140+'Свод '!FC140+'Свод '!FI140+'Свод '!HE140+'Свод '!HQ140+'Свод '!HY140+Лист1!S140+Лист1!AE140+Y140</f>
        <v>5213.54879</v>
      </c>
      <c r="AH140" s="42">
        <f>'Свод '!B140+'Свод '!D140+'Свод '!F140+'Свод '!H140</f>
        <v>3689.9999999999995</v>
      </c>
      <c r="AI140" s="42">
        <f>'Свод '!C140+'Свод '!E140+'Свод '!G140+'Свод '!I140</f>
        <v>3689.9999999999995</v>
      </c>
      <c r="AJ140" s="39">
        <f>'Свод '!AB140+'Свод '!AD140+'Свод '!AL140+'Свод '!AN140+'Свод '!AP140+'Свод '!BD140+'Свод '!BF140+'Свод '!BH140+'Свод '!BJ140+'Свод '!BL140+'Свод '!BN140+'Свод '!BP140+'Свод '!BR140+'Свод '!BT140+'Свод '!BV140+'Свод '!BX140+'Свод '!BZ140+'Свод '!CH140+'Свод '!CJ140+'Свод '!CL140+'Свод '!CN140+'Свод '!CP140+'Свод '!CR140+'Свод '!CT140+'Свод '!CV140+'Свод '!CX140+'Свод '!CZ140+'Свод '!DB140+'Свод '!DH140+'Свод '!DN140+'Свод '!DR140+'Свод '!DT140+'Свод '!DV140+'Свод '!DX140+'Свод '!DZ140+'Свод '!EB140+'Свод '!ED140+'Свод '!EF140+'Свод '!EH140+'Свод '!EJ140+'Свод '!EL140+'Свод '!FJ140+'Свод '!FL140+'Свод '!FN140+'Свод '!FP140+'Свод '!FR140+'Свод '!FT140+'Свод '!FV140+'Свод '!FX140+'Свод '!FZ140+'Свод '!GB140+'Свод '!GD140+'Свод '!GF140+'Свод '!GH140+'Свод '!HF140+'Свод '!HH140+'Свод '!HJ140+'Свод '!HL140+'Свод '!HN140+'Свод '!HR140+Лист1!B140+Лист1!D140+Лист1!F140+Лист1!H140+Лист1!J140+Лист1!L140+Лист1!N140+Лист1!P140+'Свод '!DL140</f>
        <v>1216.2</v>
      </c>
      <c r="AK140" s="39">
        <f>'Свод '!AC140+'Свод '!AE140+'Свод '!AM140+'Свод '!AO140+'Свод '!AQ140+'Свод '!BE140+'Свод '!BG140+'Свод '!BI140+'Свод '!BK140+'Свод '!BM140+'Свод '!BO140+'Свод '!BQ140+'Свод '!BS140+'Свод '!BU140+'Свод '!BW140+'Свод '!BY140+'Свод '!CA140+'Свод '!CI140+'Свод '!CK140+'Свод '!CM140+'Свод '!CO140+'Свод '!CQ140+'Свод '!CS140+'Свод '!CU140+'Свод '!CW140+'Свод '!CY140+'Свод '!DA140+'Свод '!DC140+'Свод '!DI140+'Свод '!DO140+'Свод '!DS140+'Свод '!DU140+'Свод '!DW140+'Свод '!DY140+'Свод '!EA140+'Свод '!EC140+'Свод '!EE140+'Свод '!EG140+'Свод '!EI140+'Свод '!EK140+'Свод '!EM140+'Свод '!FK140+'Свод '!FM140+'Свод '!FO140+'Свод '!FQ140+'Свод '!FS140+'Свод '!FU140+'Свод '!FW140+'Свод '!FY140+'Свод '!GA140+'Свод '!GC140+'Свод '!GE140+'Свод '!GG140+'Свод '!GI140+'Свод '!HG140+'Свод '!HI140+'Свод '!HK140+'Свод '!HM140+'Свод '!HO140+'Свод '!HS140+Лист1!C140+Лист1!E140+Лист1!G140+Лист1!I140+Лист1!K140+Лист1!M140+Лист1!O140+Лист1!Q140+'Свод '!DM140</f>
        <v>1205.426</v>
      </c>
      <c r="AL140" s="144">
        <f>'Свод '!AF140+'Свод '!AJ140+'Свод '!BB140+'Свод '!CB140+'Свод '!CD140+'Свод '!EN140+'Свод '!FD140+'Свод '!FF140+'Свод '!GJ140+'Свод '!GL140+'Свод '!GN140+'Свод '!GP140+'Свод '!GR140+'Свод '!GT140+'Свод '!GV140+'Свод '!GX140+'Свод '!HT140+'Свод '!HV140</f>
        <v>147</v>
      </c>
      <c r="AM140" s="42">
        <f>'Свод '!AG140+'Свод '!AK140+'Свод '!BC140+'Свод '!CC140+'Свод '!CE140+'Свод '!EO140+'Свод '!FE140+'Свод '!FG140+'Свод '!GK140+'Свод '!GM140+'Свод '!GO140+'Свод '!GQ140+'Свод '!GS140+'Свод '!GU140+'Свод '!GW140+'Свод '!GY140+'Свод '!HU140+'Свод '!HW140</f>
        <v>147</v>
      </c>
      <c r="AN140" s="42">
        <f>'Свод '!J140+'Свод '!L140+'Свод '!N140+'Свод '!P140+'Свод '!R140+'Свод '!T140+'Свод '!V140+'Свод '!X140+'Свод '!Z140+'Свод '!AR140+'Свод '!AT140+'Свод '!AV140+'Свод '!AX140+'Свод '!DD140+'Свод '!EP140+'Свод '!ER140+'Свод '!ET140+'Свод '!EV140+'Свод '!EX140+'Свод '!EZ140+'Свод '!GZ140+'Свод '!HB140+T140+V140+Z140+AB140</f>
        <v>171.12279</v>
      </c>
      <c r="AO140" s="42">
        <f>'Свод '!K140+'Свод '!M140+'Свод '!O140+'Свод '!Q140+'Свод '!S140+'Свод '!U140+'Свод '!W140+'Свод '!Y140+'Свод '!AA140+'Свод '!AS140+'Свод '!AU140+'Свод '!AW140+'Свод '!AY140+'Свод '!DE140+'Свод '!EQ140+'Свод '!ES140+'Свод '!EU140+'Свод '!EW140+'Свод '!EY140+'Свод '!FA140+'Свод '!HA140+'Свод '!HC140+U140+W140+AA140+AC140</f>
        <v>171.12279</v>
      </c>
    </row>
    <row r="141" spans="1:41" ht="12.75">
      <c r="A141" s="109" t="s">
        <v>284</v>
      </c>
      <c r="B141" s="104"/>
      <c r="C141" s="42"/>
      <c r="D141" s="40"/>
      <c r="E141" s="40"/>
      <c r="F141" s="43"/>
      <c r="G141" s="46"/>
      <c r="H141" s="40"/>
      <c r="I141" s="40"/>
      <c r="J141" s="110"/>
      <c r="K141" s="42"/>
      <c r="L141" s="40"/>
      <c r="M141" s="40"/>
      <c r="N141" s="40"/>
      <c r="O141" s="40"/>
      <c r="P141" s="40"/>
      <c r="Q141" s="40"/>
      <c r="R141" s="42">
        <f t="shared" si="8"/>
        <v>0</v>
      </c>
      <c r="S141" s="42">
        <f t="shared" si="9"/>
        <v>0</v>
      </c>
      <c r="T141" s="42"/>
      <c r="U141" s="42"/>
      <c r="V141" s="40"/>
      <c r="W141" s="40"/>
      <c r="X141" s="42">
        <f t="shared" si="10"/>
        <v>0</v>
      </c>
      <c r="Y141" s="42">
        <f t="shared" si="11"/>
        <v>0</v>
      </c>
      <c r="Z141" s="42"/>
      <c r="AA141" s="42"/>
      <c r="AB141" s="40"/>
      <c r="AC141" s="40"/>
      <c r="AD141" s="42">
        <f t="shared" si="12"/>
        <v>0</v>
      </c>
      <c r="AE141" s="42">
        <f t="shared" si="13"/>
        <v>0</v>
      </c>
      <c r="AF141" s="42">
        <f>'Свод '!AH141+'Свод '!AZ141+'Свод '!BB141+'Свод '!CF141+'Свод '!DF141+'Свод '!DJ141+'Свод '!DP141+'Свод '!FB141+'Свод '!FH141+'Свод '!HD141+'Свод '!HP141+'Свод '!HX141+Лист1!R141+Лист1!AD141+X141</f>
        <v>3151.6999999999994</v>
      </c>
      <c r="AG141" s="42">
        <f>'Свод '!AI141+'Свод '!BA141+'Свод '!BC141+'Свод '!CG141+'Свод '!DG141+'Свод '!DK141+'Свод '!DQ141+'Свод '!FC141+'Свод '!FI141+'Свод '!HE141+'Свод '!HQ141+'Свод '!HY141+Лист1!S141+Лист1!AE141+Y141</f>
        <v>3148.9859799999995</v>
      </c>
      <c r="AH141" s="42">
        <f>'Свод '!B141+'Свод '!D141+'Свод '!F141+'Свод '!H141</f>
        <v>2721.9999999999995</v>
      </c>
      <c r="AI141" s="42">
        <f>'Свод '!C141+'Свод '!E141+'Свод '!G141+'Свод '!I141</f>
        <v>2721.9999999999995</v>
      </c>
      <c r="AJ141" s="39">
        <f>'Свод '!AB141+'Свод '!AD141+'Свод '!AL141+'Свод '!AN141+'Свод '!AP141+'Свод '!BD141+'Свод '!BF141+'Свод '!BH141+'Свод '!BJ141+'Свод '!BL141+'Свод '!BN141+'Свод '!BP141+'Свод '!BR141+'Свод '!BT141+'Свод '!BV141+'Свод '!BX141+'Свод '!BZ141+'Свод '!CH141+'Свод '!CJ141+'Свод '!CL141+'Свод '!CN141+'Свод '!CP141+'Свод '!CR141+'Свод '!CT141+'Свод '!CV141+'Свод '!CX141+'Свод '!CZ141+'Свод '!DB141+'Свод '!DH141+'Свод '!DN141+'Свод '!DR141+'Свод '!DT141+'Свод '!DV141+'Свод '!DX141+'Свод '!DZ141+'Свод '!EB141+'Свод '!ED141+'Свод '!EF141+'Свод '!EH141+'Свод '!EJ141+'Свод '!EL141+'Свод '!FJ141+'Свод '!FL141+'Свод '!FN141+'Свод '!FP141+'Свод '!FR141+'Свод '!FT141+'Свод '!FV141+'Свод '!FX141+'Свод '!FZ141+'Свод '!GB141+'Свод '!GD141+'Свод '!GF141+'Свод '!GH141+'Свод '!HF141+'Свод '!HH141+'Свод '!HJ141+'Свод '!HL141+'Свод '!HN141+'Свод '!HR141+Лист1!B141+Лист1!D141+Лист1!F141+Лист1!H141+Лист1!J141+Лист1!L141+Лист1!N141+Лист1!P141+'Свод '!DL141</f>
        <v>75.1</v>
      </c>
      <c r="AK141" s="39">
        <f>'Свод '!AC141+'Свод '!AE141+'Свод '!AM141+'Свод '!AO141+'Свод '!AQ141+'Свод '!BE141+'Свод '!BG141+'Свод '!BI141+'Свод '!BK141+'Свод '!BM141+'Свод '!BO141+'Свод '!BQ141+'Свод '!BS141+'Свод '!BU141+'Свод '!BW141+'Свод '!BY141+'Свод '!CA141+'Свод '!CI141+'Свод '!CK141+'Свод '!CM141+'Свод '!CO141+'Свод '!CQ141+'Свод '!CS141+'Свод '!CU141+'Свод '!CW141+'Свод '!CY141+'Свод '!DA141+'Свод '!DC141+'Свод '!DI141+'Свод '!DO141+'Свод '!DS141+'Свод '!DU141+'Свод '!DW141+'Свод '!DY141+'Свод '!EA141+'Свод '!EC141+'Свод '!EE141+'Свод '!EG141+'Свод '!EI141+'Свод '!EK141+'Свод '!EM141+'Свод '!FK141+'Свод '!FM141+'Свод '!FO141+'Свод '!FQ141+'Свод '!FS141+'Свод '!FU141+'Свод '!FW141+'Свод '!FY141+'Свод '!GA141+'Свод '!GC141+'Свод '!GE141+'Свод '!GG141+'Свод '!GI141+'Свод '!HG141+'Свод '!HI141+'Свод '!HK141+'Свод '!HM141+'Свод '!HO141+'Свод '!HS141+Лист1!C141+Лист1!E141+Лист1!G141+Лист1!I141+Лист1!K141+Лист1!M141+Лист1!O141+Лист1!Q141+'Свод '!DM141</f>
        <v>75.094</v>
      </c>
      <c r="AL141" s="144">
        <f>'Свод '!AF141+'Свод '!AJ141+'Свод '!BB141+'Свод '!CB141+'Свод '!CD141+'Свод '!EN141+'Свод '!FD141+'Свод '!FF141+'Свод '!GJ141+'Свод '!GL141+'Свод '!GN141+'Свод '!GP141+'Свод '!GR141+'Свод '!GT141+'Свод '!GV141+'Свод '!GX141+'Свод '!HT141+'Свод '!HV141</f>
        <v>147</v>
      </c>
      <c r="AM141" s="42">
        <f>'Свод '!AG141+'Свод '!AK141+'Свод '!BC141+'Свод '!CC141+'Свод '!CE141+'Свод '!EO141+'Свод '!FE141+'Свод '!FG141+'Свод '!GK141+'Свод '!GM141+'Свод '!GO141+'Свод '!GQ141+'Свод '!GS141+'Свод '!GU141+'Свод '!GW141+'Свод '!GY141+'Свод '!HU141+'Свод '!HW141</f>
        <v>147.00000000000003</v>
      </c>
      <c r="AN141" s="42">
        <f>'Свод '!J141+'Свод '!L141+'Свод '!N141+'Свод '!P141+'Свод '!R141+'Свод '!T141+'Свод '!V141+'Свод '!X141+'Свод '!Z141+'Свод '!AR141+'Свод '!AT141+'Свод '!AV141+'Свод '!AX141+'Свод '!DD141+'Свод '!EP141+'Свод '!ER141+'Свод '!ET141+'Свод '!EV141+'Свод '!EX141+'Свод '!EZ141+'Свод '!GZ141+'Свод '!HB141+T141+V141+Z141+AB141</f>
        <v>207.6</v>
      </c>
      <c r="AO141" s="42">
        <f>'Свод '!K141+'Свод '!M141+'Свод '!O141+'Свод '!Q141+'Свод '!S141+'Свод '!U141+'Свод '!W141+'Свод '!Y141+'Свод '!AA141+'Свод '!AS141+'Свод '!AU141+'Свод '!AW141+'Свод '!AY141+'Свод '!DE141+'Свод '!EQ141+'Свод '!ES141+'Свод '!EU141+'Свод '!EW141+'Свод '!EY141+'Свод '!FA141+'Свод '!HA141+'Свод '!HC141+U141+W141+AA141+AC141</f>
        <v>204.89198</v>
      </c>
    </row>
    <row r="142" spans="1:41" ht="12.75" customHeight="1">
      <c r="A142" s="109" t="s">
        <v>285</v>
      </c>
      <c r="B142" s="104"/>
      <c r="C142" s="42"/>
      <c r="D142" s="40"/>
      <c r="E142" s="40"/>
      <c r="F142" s="43"/>
      <c r="G142" s="46"/>
      <c r="H142" s="40"/>
      <c r="I142" s="40"/>
      <c r="J142" s="110"/>
      <c r="K142" s="42"/>
      <c r="L142" s="40"/>
      <c r="M142" s="40"/>
      <c r="N142" s="40"/>
      <c r="O142" s="40"/>
      <c r="P142" s="40"/>
      <c r="Q142" s="40"/>
      <c r="R142" s="42">
        <f t="shared" si="8"/>
        <v>0</v>
      </c>
      <c r="S142" s="42">
        <f t="shared" si="9"/>
        <v>0</v>
      </c>
      <c r="T142" s="42"/>
      <c r="U142" s="42"/>
      <c r="V142" s="40"/>
      <c r="W142" s="40"/>
      <c r="X142" s="42">
        <f t="shared" si="10"/>
        <v>0</v>
      </c>
      <c r="Y142" s="42">
        <f t="shared" si="11"/>
        <v>0</v>
      </c>
      <c r="Z142" s="42"/>
      <c r="AA142" s="42"/>
      <c r="AB142" s="40"/>
      <c r="AC142" s="40"/>
      <c r="AD142" s="42">
        <f t="shared" si="12"/>
        <v>0</v>
      </c>
      <c r="AE142" s="42">
        <f t="shared" si="13"/>
        <v>0</v>
      </c>
      <c r="AF142" s="42">
        <f>'Свод '!AH142+'Свод '!AZ142+'Свод '!BB142+'Свод '!CF142+'Свод '!DF142+'Свод '!DJ142+'Свод '!DP142+'Свод '!FB142+'Свод '!FH142+'Свод '!HD142+'Свод '!HP142+'Свод '!HX142+Лист1!R142+Лист1!AD142+X142</f>
        <v>8184.07677</v>
      </c>
      <c r="AG142" s="42">
        <f>'Свод '!AI142+'Свод '!BA142+'Свод '!BC142+'Свод '!CG142+'Свод '!DG142+'Свод '!DK142+'Свод '!DQ142+'Свод '!FC142+'Свод '!FI142+'Свод '!HE142+'Свод '!HQ142+'Свод '!HY142+Лист1!S142+Лист1!AE142+Y142</f>
        <v>8134.788200000001</v>
      </c>
      <c r="AH142" s="42">
        <f>'Свод '!B142+'Свод '!D142+'Свод '!F142+'Свод '!H142</f>
        <v>4095</v>
      </c>
      <c r="AI142" s="42">
        <f>'Свод '!C142+'Свод '!E142+'Свод '!G142+'Свод '!I142</f>
        <v>4095</v>
      </c>
      <c r="AJ142" s="39">
        <f>'Свод '!AB142+'Свод '!AD142+'Свод '!AL142+'Свод '!AN142+'Свод '!AP142+'Свод '!BD142+'Свод '!BF142+'Свод '!BH142+'Свод '!BJ142+'Свод '!BL142+'Свод '!BN142+'Свод '!BP142+'Свод '!BR142+'Свод '!BT142+'Свод '!BV142+'Свод '!BX142+'Свод '!BZ142+'Свод '!CH142+'Свод '!CJ142+'Свод '!CL142+'Свод '!CN142+'Свод '!CP142+'Свод '!CR142+'Свод '!CT142+'Свод '!CV142+'Свод '!CX142+'Свод '!CZ142+'Свод '!DB142+'Свод '!DH142+'Свод '!DN142+'Свод '!DR142+'Свод '!DT142+'Свод '!DV142+'Свод '!DX142+'Свод '!DZ142+'Свод '!EB142+'Свод '!ED142+'Свод '!EF142+'Свод '!EH142+'Свод '!EJ142+'Свод '!EL142+'Свод '!FJ142+'Свод '!FL142+'Свод '!FN142+'Свод '!FP142+'Свод '!FR142+'Свод '!FT142+'Свод '!FV142+'Свод '!FX142+'Свод '!FZ142+'Свод '!GB142+'Свод '!GD142+'Свод '!GF142+'Свод '!GH142+'Свод '!HF142+'Свод '!HH142+'Свод '!HJ142+'Свод '!HL142+'Свод '!HN142+'Свод '!HR142+Лист1!B142+Лист1!D142+Лист1!F142+Лист1!H142+Лист1!J142+Лист1!L142+Лист1!N142+Лист1!P142+'Свод '!DL142</f>
        <v>259.5</v>
      </c>
      <c r="AK142" s="39">
        <f>'Свод '!AC142+'Свод '!AE142+'Свод '!AM142+'Свод '!AO142+'Свод '!AQ142+'Свод '!BE142+'Свод '!BG142+'Свод '!BI142+'Свод '!BK142+'Свод '!BM142+'Свод '!BO142+'Свод '!BQ142+'Свод '!BS142+'Свод '!BU142+'Свод '!BW142+'Свод '!BY142+'Свод '!CA142+'Свод '!CI142+'Свод '!CK142+'Свод '!CM142+'Свод '!CO142+'Свод '!CQ142+'Свод '!CS142+'Свод '!CU142+'Свод '!CW142+'Свод '!CY142+'Свод '!DA142+'Свод '!DC142+'Свод '!DI142+'Свод '!DO142+'Свод '!DS142+'Свод '!DU142+'Свод '!DW142+'Свод '!DY142+'Свод '!EA142+'Свод '!EC142+'Свод '!EE142+'Свод '!EG142+'Свод '!EI142+'Свод '!EK142+'Свод '!EM142+'Свод '!FK142+'Свод '!FM142+'Свод '!FO142+'Свод '!FQ142+'Свод '!FS142+'Свод '!FU142+'Свод '!FW142+'Свод '!FY142+'Свод '!GA142+'Свод '!GC142+'Свод '!GE142+'Свод '!GG142+'Свод '!GI142+'Свод '!HG142+'Свод '!HI142+'Свод '!HK142+'Свод '!HM142+'Свод '!HO142+'Свод '!HS142+Лист1!C142+Лист1!E142+Лист1!G142+Лист1!I142+Лист1!K142+Лист1!M142+Лист1!O142+Лист1!Q142+'Свод '!DM142</f>
        <v>259.5</v>
      </c>
      <c r="AL142" s="144">
        <f>'Свод '!AF142+'Свод '!AJ142+'Свод '!BB142+'Свод '!CB142+'Свод '!CD142+'Свод '!EN142+'Свод '!FD142+'Свод '!FF142+'Свод '!GJ142+'Свод '!GL142+'Свод '!GN142+'Свод '!GP142+'Свод '!GR142+'Свод '!GT142+'Свод '!GV142+'Свод '!GX142+'Свод '!HT142+'Свод '!HV142</f>
        <v>147</v>
      </c>
      <c r="AM142" s="42">
        <f>'Свод '!AG142+'Свод '!AK142+'Свод '!BC142+'Свод '!CC142+'Свод '!CE142+'Свод '!EO142+'Свод '!FE142+'Свод '!FG142+'Свод '!GK142+'Свод '!GM142+'Свод '!GO142+'Свод '!GQ142+'Свод '!GS142+'Свод '!GU142+'Свод '!GW142+'Свод '!GY142+'Свод '!HU142+'Свод '!HW142</f>
        <v>147</v>
      </c>
      <c r="AN142" s="42">
        <f>'Свод '!J142+'Свод '!L142+'Свод '!N142+'Свод '!P142+'Свод '!R142+'Свод '!T142+'Свод '!V142+'Свод '!X142+'Свод '!Z142+'Свод '!AR142+'Свод '!AT142+'Свод '!AV142+'Свод '!AX142+'Свод '!DD142+'Свод '!EP142+'Свод '!ER142+'Свод '!ET142+'Свод '!EV142+'Свод '!EX142+'Свод '!EZ142+'Свод '!GZ142+'Свод '!HB142+T142+V142+Z142+AB142</f>
        <v>3682.57677</v>
      </c>
      <c r="AO142" s="42">
        <f>'Свод '!K142+'Свод '!M142+'Свод '!O142+'Свод '!Q142+'Свод '!S142+'Свод '!U142+'Свод '!W142+'Свод '!Y142+'Свод '!AA142+'Свод '!AS142+'Свод '!AU142+'Свод '!AW142+'Свод '!AY142+'Свод '!DE142+'Свод '!EQ142+'Свод '!ES142+'Свод '!EU142+'Свод '!EW142+'Свод '!EY142+'Свод '!FA142+'Свод '!HA142+'Свод '!HC142+U142+W142+AA142+AC142</f>
        <v>3633.2882</v>
      </c>
    </row>
    <row r="143" spans="1:41" ht="12.75">
      <c r="A143" s="109" t="s">
        <v>286</v>
      </c>
      <c r="B143" s="104"/>
      <c r="C143" s="42"/>
      <c r="D143" s="40"/>
      <c r="E143" s="40"/>
      <c r="F143" s="43"/>
      <c r="G143" s="46"/>
      <c r="H143" s="40"/>
      <c r="I143" s="40"/>
      <c r="J143" s="110"/>
      <c r="K143" s="42"/>
      <c r="L143" s="40"/>
      <c r="M143" s="40"/>
      <c r="N143" s="40"/>
      <c r="O143" s="40"/>
      <c r="P143" s="40"/>
      <c r="Q143" s="40"/>
      <c r="R143" s="42">
        <f aca="true" t="shared" si="16" ref="R143:R156">B143+D143+F143+J143+H143+L143+N143+P143</f>
        <v>0</v>
      </c>
      <c r="S143" s="42">
        <f aca="true" t="shared" si="17" ref="S143:S156">C143+E143+G143+K143+I143+M143+O143+Q143</f>
        <v>0</v>
      </c>
      <c r="T143" s="42"/>
      <c r="U143" s="42"/>
      <c r="V143" s="40"/>
      <c r="W143" s="40"/>
      <c r="X143" s="42">
        <f aca="true" t="shared" si="18" ref="X143:X156">T143+V143</f>
        <v>0</v>
      </c>
      <c r="Y143" s="42">
        <f aca="true" t="shared" si="19" ref="Y143:Y156">U143+W143</f>
        <v>0</v>
      </c>
      <c r="Z143" s="42"/>
      <c r="AA143" s="42"/>
      <c r="AB143" s="40"/>
      <c r="AC143" s="40"/>
      <c r="AD143" s="42">
        <f aca="true" t="shared" si="20" ref="AD143:AD156">Z143+AB143</f>
        <v>0</v>
      </c>
      <c r="AE143" s="42">
        <f aca="true" t="shared" si="21" ref="AE143:AE156">AA143+AC143</f>
        <v>0</v>
      </c>
      <c r="AF143" s="42">
        <f>'Свод '!AH143+'Свод '!AZ143+'Свод '!BB143+'Свод '!CF143+'Свод '!DF143+'Свод '!DJ143+'Свод '!DP143+'Свод '!FB143+'Свод '!FH143+'Свод '!HD143+'Свод '!HP143+'Свод '!HX143+Лист1!R143+Лист1!AD143+X143</f>
        <v>7278.44387</v>
      </c>
      <c r="AG143" s="42">
        <f>'Свод '!AI143+'Свод '!BA143+'Свод '!BC143+'Свод '!CG143+'Свод '!DG143+'Свод '!DK143+'Свод '!DQ143+'Свод '!FC143+'Свод '!FI143+'Свод '!HE143+'Свод '!HQ143+'Свод '!HY143+Лист1!S143+Лист1!AE143+Y143</f>
        <v>7193.0282099999995</v>
      </c>
      <c r="AH143" s="42">
        <f>'Свод '!B143+'Свод '!D143+'Свод '!F143+'Свод '!H143</f>
        <v>3151</v>
      </c>
      <c r="AI143" s="42">
        <f>'Свод '!C143+'Свод '!E143+'Свод '!G143+'Свод '!I143</f>
        <v>3151</v>
      </c>
      <c r="AJ143" s="39">
        <f>'Свод '!AB143+'Свод '!AD143+'Свод '!AL143+'Свод '!AN143+'Свод '!AP143+'Свод '!BD143+'Свод '!BF143+'Свод '!BH143+'Свод '!BJ143+'Свод '!BL143+'Свод '!BN143+'Свод '!BP143+'Свод '!BR143+'Свод '!BT143+'Свод '!BV143+'Свод '!BX143+'Свод '!BZ143+'Свод '!CH143+'Свод '!CJ143+'Свод '!CL143+'Свод '!CN143+'Свод '!CP143+'Свод '!CR143+'Свод '!CT143+'Свод '!CV143+'Свод '!CX143+'Свод '!CZ143+'Свод '!DB143+'Свод '!DH143+'Свод '!DN143+'Свод '!DR143+'Свод '!DT143+'Свод '!DV143+'Свод '!DX143+'Свод '!DZ143+'Свод '!EB143+'Свод '!ED143+'Свод '!EF143+'Свод '!EH143+'Свод '!EJ143+'Свод '!EL143+'Свод '!FJ143+'Свод '!FL143+'Свод '!FN143+'Свод '!FP143+'Свод '!FR143+'Свод '!FT143+'Свод '!FV143+'Свод '!FX143+'Свод '!FZ143+'Свод '!GB143+'Свод '!GD143+'Свод '!GF143+'Свод '!GH143+'Свод '!HF143+'Свод '!HH143+'Свод '!HJ143+'Свод '!HL143+'Свод '!HN143+'Свод '!HR143+Лист1!B143+Лист1!D143+Лист1!F143+Лист1!H143+Лист1!J143+Лист1!L143+Лист1!N143+Лист1!P143+'Свод '!DL143</f>
        <v>974.9</v>
      </c>
      <c r="AK143" s="39">
        <f>'Свод '!AC143+'Свод '!AE143+'Свод '!AM143+'Свод '!AO143+'Свод '!AQ143+'Свод '!BE143+'Свод '!BG143+'Свод '!BI143+'Свод '!BK143+'Свод '!BM143+'Свод '!BO143+'Свод '!BQ143+'Свод '!BS143+'Свод '!BU143+'Свод '!BW143+'Свод '!BY143+'Свод '!CA143+'Свод '!CI143+'Свод '!CK143+'Свод '!CM143+'Свод '!CO143+'Свод '!CQ143+'Свод '!CS143+'Свод '!CU143+'Свод '!CW143+'Свод '!CY143+'Свод '!DA143+'Свод '!DC143+'Свод '!DI143+'Свод '!DO143+'Свод '!DS143+'Свод '!DU143+'Свод '!DW143+'Свод '!DY143+'Свод '!EA143+'Свод '!EC143+'Свод '!EE143+'Свод '!EG143+'Свод '!EI143+'Свод '!EK143+'Свод '!EM143+'Свод '!FK143+'Свод '!FM143+'Свод '!FO143+'Свод '!FQ143+'Свод '!FS143+'Свод '!FU143+'Свод '!FW143+'Свод '!FY143+'Свод '!GA143+'Свод '!GC143+'Свод '!GE143+'Свод '!GG143+'Свод '!GI143+'Свод '!HG143+'Свод '!HI143+'Свод '!HK143+'Свод '!HM143+'Свод '!HO143+'Свод '!HS143+Лист1!C143+Лист1!E143+Лист1!G143+Лист1!I143+Лист1!K143+Лист1!M143+Лист1!O143+Лист1!Q143+'Свод '!DM143</f>
        <v>969.4119999999999</v>
      </c>
      <c r="AL143" s="144">
        <f>'Свод '!AF143+'Свод '!AJ143+'Свод '!BB143+'Свод '!CB143+'Свод '!CD143+'Свод '!EN143+'Свод '!FD143+'Свод '!FF143+'Свод '!GJ143+'Свод '!GL143+'Свод '!GN143+'Свод '!GP143+'Свод '!GR143+'Свод '!GT143+'Свод '!GV143+'Свод '!GX143+'Свод '!HT143+'Свод '!HV143</f>
        <v>147</v>
      </c>
      <c r="AM143" s="42">
        <f>'Свод '!AG143+'Свод '!AK143+'Свод '!BC143+'Свод '!CC143+'Свод '!CE143+'Свод '!EO143+'Свод '!FE143+'Свод '!FG143+'Свод '!GK143+'Свод '!GM143+'Свод '!GO143+'Свод '!GQ143+'Свод '!GS143+'Свод '!GU143+'Свод '!GW143+'Свод '!GY143+'Свод '!HU143+'Свод '!HW143</f>
        <v>147</v>
      </c>
      <c r="AN143" s="42">
        <f>'Свод '!J143+'Свод '!L143+'Свод '!N143+'Свод '!P143+'Свод '!R143+'Свод '!T143+'Свод '!V143+'Свод '!X143+'Свод '!Z143+'Свод '!AR143+'Свод '!AT143+'Свод '!AV143+'Свод '!AX143+'Свод '!DD143+'Свод '!EP143+'Свод '!ER143+'Свод '!ET143+'Свод '!EV143+'Свод '!EX143+'Свод '!EZ143+'Свод '!GZ143+'Свод '!HB143+T143+V143+Z143+AB143</f>
        <v>3005.54387</v>
      </c>
      <c r="AO143" s="42">
        <f>'Свод '!K143+'Свод '!M143+'Свод '!O143+'Свод '!Q143+'Свод '!S143+'Свод '!U143+'Свод '!W143+'Свод '!Y143+'Свод '!AA143+'Свод '!AS143+'Свод '!AU143+'Свод '!AW143+'Свод '!AY143+'Свод '!DE143+'Свод '!EQ143+'Свод '!ES143+'Свод '!EU143+'Свод '!EW143+'Свод '!EY143+'Свод '!FA143+'Свод '!HA143+'Свод '!HC143+U143+W143+AA143+AC143</f>
        <v>2925.61621</v>
      </c>
    </row>
    <row r="144" spans="1:41" ht="12.75" customHeight="1">
      <c r="A144" s="108" t="s">
        <v>121</v>
      </c>
      <c r="B144" s="104">
        <v>0</v>
      </c>
      <c r="C144" s="42">
        <v>0</v>
      </c>
      <c r="D144" s="40">
        <f>SUM(D145:D150)</f>
        <v>0</v>
      </c>
      <c r="E144" s="40">
        <f>SUM(E145:E150)</f>
        <v>0</v>
      </c>
      <c r="F144" s="43">
        <v>373</v>
      </c>
      <c r="G144" s="46">
        <v>368.88977</v>
      </c>
      <c r="H144" s="40">
        <f>SUM(H145:H150)</f>
        <v>0</v>
      </c>
      <c r="I144" s="40">
        <f>SUM(I145:I150)</f>
        <v>0</v>
      </c>
      <c r="J144" s="104">
        <v>19245</v>
      </c>
      <c r="K144" s="42">
        <v>12200.69399</v>
      </c>
      <c r="L144" s="118">
        <v>0</v>
      </c>
      <c r="M144" s="118">
        <v>0</v>
      </c>
      <c r="N144" s="118">
        <f>SUM(N145:N150)</f>
        <v>0</v>
      </c>
      <c r="O144" s="118">
        <f>SUM(O145:O150)</f>
        <v>0</v>
      </c>
      <c r="P144" s="118">
        <f>SUM(P145:P150)</f>
        <v>0</v>
      </c>
      <c r="Q144" s="118">
        <f>SUM(Q145:Q150)</f>
        <v>0</v>
      </c>
      <c r="R144" s="42">
        <f t="shared" si="16"/>
        <v>19618</v>
      </c>
      <c r="S144" s="42">
        <f t="shared" si="17"/>
        <v>12569.58376</v>
      </c>
      <c r="T144" s="42">
        <v>0</v>
      </c>
      <c r="U144" s="42">
        <v>0</v>
      </c>
      <c r="V144" s="40">
        <v>0</v>
      </c>
      <c r="W144" s="40">
        <v>0</v>
      </c>
      <c r="X144" s="42">
        <f t="shared" si="18"/>
        <v>0</v>
      </c>
      <c r="Y144" s="42">
        <f t="shared" si="19"/>
        <v>0</v>
      </c>
      <c r="Z144" s="42">
        <v>99.2</v>
      </c>
      <c r="AA144" s="42">
        <v>99.2</v>
      </c>
      <c r="AB144" s="40">
        <v>0</v>
      </c>
      <c r="AC144" s="40">
        <v>0</v>
      </c>
      <c r="AD144" s="42">
        <f t="shared" si="20"/>
        <v>99.2</v>
      </c>
      <c r="AE144" s="42">
        <f t="shared" si="21"/>
        <v>99.2</v>
      </c>
      <c r="AF144" s="42">
        <f>'Свод '!AH144+'Свод '!AZ144+'Свод '!BB144+'Свод '!CF144+'Свод '!DF144+'Свод '!DJ144+'Свод '!DP144+'Свод '!FB144+'Свод '!FH144+'Свод '!HD144+'Свод '!HP144+'Свод '!HX144+Лист1!R144+Лист1!AD144+X144</f>
        <v>545680.89689</v>
      </c>
      <c r="AG144" s="42">
        <f>'Свод '!AI144+'Свод '!BA144+'Свод '!BC144+'Свод '!CG144+'Свод '!DG144+'Свод '!DK144+'Свод '!DQ144+'Свод '!FC144+'Свод '!FI144+'Свод '!HE144+'Свод '!HQ144+'Свод '!HY144+Лист1!S144+Лист1!AE144+Y144</f>
        <v>520819.62606000004</v>
      </c>
      <c r="AH144" s="42">
        <f>'Свод '!B144+'Свод '!D144+'Свод '!F144+'Свод '!H144</f>
        <v>104598</v>
      </c>
      <c r="AI144" s="42">
        <f>'Свод '!C144+'Свод '!E144+'Свод '!G144+'Свод '!I144</f>
        <v>104598</v>
      </c>
      <c r="AJ144" s="39">
        <f>'Свод '!AB144+'Свод '!AD144+'Свод '!AL144+'Свод '!AN144+'Свод '!AP144+'Свод '!BD144+'Свод '!BF144+'Свод '!BH144+'Свод '!BJ144+'Свод '!BL144+'Свод '!BN144+'Свод '!BP144+'Свод '!BR144+'Свод '!BT144+'Свод '!BV144+'Свод '!BX144+'Свод '!BZ144+'Свод '!CH144+'Свод '!CJ144+'Свод '!CL144+'Свод '!CN144+'Свод '!CP144+'Свод '!CR144+'Свод '!CT144+'Свод '!CV144+'Свод '!CX144+'Свод '!CZ144+'Свод '!DB144+'Свод '!DH144+'Свод '!DN144+'Свод '!DR144+'Свод '!DT144+'Свод '!DV144+'Свод '!DX144+'Свод '!DZ144+'Свод '!EB144+'Свод '!ED144+'Свод '!EF144+'Свод '!EH144+'Свод '!EJ144+'Свод '!EL144+'Свод '!FJ144+'Свод '!FL144+'Свод '!FN144+'Свод '!FP144+'Свод '!FR144+'Свод '!FT144+'Свод '!FV144+'Свод '!FX144+'Свод '!FZ144+'Свод '!GB144+'Свод '!GD144+'Свод '!GF144+'Свод '!GH144+'Свод '!HF144+'Свод '!HH144+'Свод '!HJ144+'Свод '!HL144+'Свод '!HN144+'Свод '!HR144+Лист1!B144+Лист1!D144+Лист1!F144+Лист1!H144+Лист1!J144+Лист1!L144+Лист1!N144+Лист1!P144+'Свод '!DL144</f>
        <v>146155.776</v>
      </c>
      <c r="AK144" s="39">
        <f>'Свод '!AC144+'Свод '!AE144+'Свод '!AM144+'Свод '!AO144+'Свод '!AQ144+'Свод '!BE144+'Свод '!BG144+'Свод '!BI144+'Свод '!BK144+'Свод '!BM144+'Свод '!BO144+'Свод '!BQ144+'Свод '!BS144+'Свод '!BU144+'Свод '!BW144+'Свод '!BY144+'Свод '!CA144+'Свод '!CI144+'Свод '!CK144+'Свод '!CM144+'Свод '!CO144+'Свод '!CQ144+'Свод '!CS144+'Свод '!CU144+'Свод '!CW144+'Свод '!CY144+'Свод '!DA144+'Свод '!DC144+'Свод '!DI144+'Свод '!DO144+'Свод '!DS144+'Свод '!DU144+'Свод '!DW144+'Свод '!DY144+'Свод '!EA144+'Свод '!EC144+'Свод '!EE144+'Свод '!EG144+'Свод '!EI144+'Свод '!EK144+'Свод '!EM144+'Свод '!FK144+'Свод '!FM144+'Свод '!FO144+'Свод '!FQ144+'Свод '!FS144+'Свод '!FU144+'Свод '!FW144+'Свод '!FY144+'Свод '!GA144+'Свод '!GC144+'Свод '!GE144+'Свод '!GG144+'Свод '!GI144+'Свод '!HG144+'Свод '!HI144+'Свод '!HK144+'Свод '!HM144+'Свод '!HO144+'Свод '!HS144+Лист1!C144+Лист1!E144+Лист1!G144+Лист1!I144+Лист1!K144+Лист1!M144+Лист1!O144+Лист1!Q144+'Свод '!DM144</f>
        <v>121296.92076000001</v>
      </c>
      <c r="AL144" s="144">
        <f>'Свод '!AF144+'Свод '!AJ144+'Свод '!BB144+'Свод '!CB144+'Свод '!CD144+'Свод '!EN144+'Свод '!FD144+'Свод '!FF144+'Свод '!GJ144+'Свод '!GL144+'Свод '!GN144+'Свод '!GP144+'Свод '!GR144+'Свод '!GT144+'Свод '!GV144+'Свод '!GX144+'Свод '!HT144+'Свод '!HV144</f>
        <v>265100.335</v>
      </c>
      <c r="AM144" s="42">
        <f>'Свод '!AG144+'Свод '!AK144+'Свод '!BC144+'Свод '!CC144+'Свод '!CE144+'Свод '!EO144+'Свод '!FE144+'Свод '!FG144+'Свод '!GK144+'Свод '!GM144+'Свод '!GO144+'Свод '!GQ144+'Свод '!GS144+'Свод '!GU144+'Свод '!GW144+'Свод '!GY144+'Свод '!HU144+'Свод '!HW144</f>
        <v>265100.335</v>
      </c>
      <c r="AN144" s="42">
        <f>'Свод '!J144+'Свод '!L144+'Свод '!N144+'Свод '!P144+'Свод '!R144+'Свод '!T144+'Свод '!V144+'Свод '!X144+'Свод '!Z144+'Свод '!AR144+'Свод '!AT144+'Свод '!AV144+'Свод '!AX144+'Свод '!DD144+'Свод '!EP144+'Свод '!ER144+'Свод '!ET144+'Свод '!EV144+'Свод '!EX144+'Свод '!EZ144+'Свод '!GZ144+'Свод '!HB144+T144+V144+Z144+AB144</f>
        <v>29826.78589</v>
      </c>
      <c r="AO144" s="42">
        <f>'Свод '!K144+'Свод '!M144+'Свод '!O144+'Свод '!Q144+'Свод '!S144+'Свод '!U144+'Свод '!W144+'Свод '!Y144+'Свод '!AA144+'Свод '!AS144+'Свод '!AU144+'Свод '!AW144+'Свод '!AY144+'Свод '!DE144+'Свод '!EQ144+'Свод '!ES144+'Свод '!EU144+'Свод '!EW144+'Свод '!EY144+'Свод '!FA144+'Свод '!HA144+'Свод '!HC144+U144+W144+AA144+AC144</f>
        <v>29824.3703</v>
      </c>
    </row>
    <row r="145" spans="1:41" ht="12.75">
      <c r="A145" s="103" t="s">
        <v>156</v>
      </c>
      <c r="B145" s="104"/>
      <c r="C145" s="42"/>
      <c r="D145" s="40"/>
      <c r="E145" s="40"/>
      <c r="F145" s="43">
        <v>20</v>
      </c>
      <c r="G145" s="42">
        <v>15.88977</v>
      </c>
      <c r="H145" s="40"/>
      <c r="I145" s="40"/>
      <c r="J145" s="105"/>
      <c r="K145" s="42"/>
      <c r="L145" s="40"/>
      <c r="M145" s="40"/>
      <c r="N145" s="40"/>
      <c r="O145" s="40"/>
      <c r="P145" s="40"/>
      <c r="Q145" s="40"/>
      <c r="R145" s="42">
        <f t="shared" si="16"/>
        <v>20</v>
      </c>
      <c r="S145" s="42">
        <f t="shared" si="17"/>
        <v>15.88977</v>
      </c>
      <c r="T145" s="42"/>
      <c r="U145" s="42"/>
      <c r="V145" s="40"/>
      <c r="W145" s="40"/>
      <c r="X145" s="42">
        <f t="shared" si="18"/>
        <v>0</v>
      </c>
      <c r="Y145" s="42">
        <f t="shared" si="19"/>
        <v>0</v>
      </c>
      <c r="Z145" s="42">
        <v>99.2</v>
      </c>
      <c r="AA145" s="42">
        <v>99.2</v>
      </c>
      <c r="AB145" s="40"/>
      <c r="AC145" s="40"/>
      <c r="AD145" s="42">
        <f t="shared" si="20"/>
        <v>99.2</v>
      </c>
      <c r="AE145" s="42">
        <f t="shared" si="21"/>
        <v>99.2</v>
      </c>
      <c r="AF145" s="42">
        <f>'Свод '!AH145+'Свод '!AZ145+'Свод '!BB145+'Свод '!CF145+'Свод '!DF145+'Свод '!DJ145+'Свод '!DP145+'Свод '!FB145+'Свод '!FH145+'Свод '!HD145+'Свод '!HP145+'Свод '!HX145+Лист1!R145+Лист1!AD145+X145</f>
        <v>429801.798</v>
      </c>
      <c r="AG145" s="42">
        <f>'Свод '!AI145+'Свод '!BA145+'Свод '!BC145+'Свод '!CG145+'Свод '!DG145+'Свод '!DK145+'Свод '!DQ145+'Свод '!FC145+'Свод '!FI145+'Свод '!HE145+'Свод '!HQ145+'Свод '!HY145+Лист1!S145+Лист1!AE145+Y145</f>
        <v>413360.12777</v>
      </c>
      <c r="AH145" s="42">
        <f>'Свод '!B145+'Свод '!D145+'Свод '!F145+'Свод '!H145</f>
        <v>84690</v>
      </c>
      <c r="AI145" s="42">
        <f>'Свод '!C145+'Свод '!E145+'Свод '!G145+'Свод '!I145</f>
        <v>84690</v>
      </c>
      <c r="AJ145" s="39">
        <f>'Свод '!AB145+'Свод '!AD145+'Свод '!AL145+'Свод '!AN145+'Свод '!AP145+'Свод '!BD145+'Свод '!BF145+'Свод '!BH145+'Свод '!BJ145+'Свод '!BL145+'Свод '!BN145+'Свод '!BP145+'Свод '!BR145+'Свод '!BT145+'Свод '!BV145+'Свод '!BX145+'Свод '!BZ145+'Свод '!CH145+'Свод '!CJ145+'Свод '!CL145+'Свод '!CN145+'Свод '!CP145+'Свод '!CR145+'Свод '!CT145+'Свод '!CV145+'Свод '!CX145+'Свод '!CZ145+'Свод '!DB145+'Свод '!DH145+'Свод '!DN145+'Свод '!DR145+'Свод '!DT145+'Свод '!DV145+'Свод '!DX145+'Свод '!DZ145+'Свод '!EB145+'Свод '!ED145+'Свод '!EF145+'Свод '!EH145+'Свод '!EJ145+'Свод '!EL145+'Свод '!FJ145+'Свод '!FL145+'Свод '!FN145+'Свод '!FP145+'Свод '!FR145+'Свод '!FT145+'Свод '!FV145+'Свод '!FX145+'Свод '!FZ145+'Свод '!GB145+'Свод '!GD145+'Свод '!GF145+'Свод '!GH145+'Свод '!HF145+'Свод '!HH145+'Свод '!HJ145+'Свод '!HL145+'Свод '!HN145+'Свод '!HR145+Лист1!B145+Лист1!D145+Лист1!F145+Лист1!H145+Лист1!J145+Лист1!L145+Лист1!N145+Лист1!P145+'Свод '!DL145</f>
        <v>80363.163</v>
      </c>
      <c r="AK145" s="39">
        <f>'Свод '!AC145+'Свод '!AE145+'Свод '!AM145+'Свод '!AO145+'Свод '!AQ145+'Свод '!BE145+'Свод '!BG145+'Свод '!BI145+'Свод '!BK145+'Свод '!BM145+'Свод '!BO145+'Свод '!BQ145+'Свод '!BS145+'Свод '!BU145+'Свод '!BW145+'Свод '!BY145+'Свод '!CA145+'Свод '!CI145+'Свод '!CK145+'Свод '!CM145+'Свод '!CO145+'Свод '!CQ145+'Свод '!CS145+'Свод '!CU145+'Свод '!CW145+'Свод '!CY145+'Свод '!DA145+'Свод '!DC145+'Свод '!DI145+'Свод '!DO145+'Свод '!DS145+'Свод '!DU145+'Свод '!DW145+'Свод '!DY145+'Свод '!EA145+'Свод '!EC145+'Свод '!EE145+'Свод '!EG145+'Свод '!EI145+'Свод '!EK145+'Свод '!EM145+'Свод '!FK145+'Свод '!FM145+'Свод '!FO145+'Свод '!FQ145+'Свод '!FS145+'Свод '!FU145+'Свод '!FW145+'Свод '!FY145+'Свод '!GA145+'Свод '!GC145+'Свод '!GE145+'Свод '!GG145+'Свод '!GI145+'Свод '!HG145+'Свод '!HI145+'Свод '!HK145+'Свод '!HM145+'Свод '!HO145+'Свод '!HS145+Лист1!C145+Лист1!E145+Лист1!G145+Лист1!I145+Лист1!K145+Лист1!M145+Лист1!O145+Лист1!Q145+'Свод '!DM145</f>
        <v>63921.49277</v>
      </c>
      <c r="AL145" s="144">
        <f>'Свод '!AF145+'Свод '!AJ145+'Свод '!BB145+'Свод '!CB145+'Свод '!CD145+'Свод '!EN145+'Свод '!FD145+'Свод '!FF145+'Свод '!GJ145+'Свод '!GL145+'Свод '!GN145+'Свод '!GP145+'Свод '!GR145+'Свод '!GT145+'Свод '!GV145+'Свод '!GX145+'Свод '!HT145+'Свод '!HV145</f>
        <v>264369.335</v>
      </c>
      <c r="AM145" s="42">
        <f>'Свод '!AG145+'Свод '!AK145+'Свод '!BC145+'Свод '!CC145+'Свод '!CE145+'Свод '!EO145+'Свод '!FE145+'Свод '!FG145+'Свод '!GK145+'Свод '!GM145+'Свод '!GO145+'Свод '!GQ145+'Свод '!GS145+'Свод '!GU145+'Свод '!GW145+'Свод '!GY145+'Свод '!HU145+'Свод '!HW145</f>
        <v>264369.335</v>
      </c>
      <c r="AN145" s="42">
        <f>'Свод '!J145+'Свод '!L145+'Свод '!N145+'Свод '!P145+'Свод '!R145+'Свод '!T145+'Свод '!V145+'Свод '!X145+'Свод '!Z145+'Свод '!AR145+'Свод '!AT145+'Свод '!AV145+'Свод '!AX145+'Свод '!DD145+'Свод '!EP145+'Свод '!ER145+'Свод '!ET145+'Свод '!EV145+'Свод '!EX145+'Свод '!EZ145+'Свод '!GZ145+'Свод '!HB145+T145+V145+Z145+AB145</f>
        <v>379.3</v>
      </c>
      <c r="AO145" s="42">
        <f>'Свод '!K145+'Свод '!M145+'Свод '!O145+'Свод '!Q145+'Свод '!S145+'Свод '!U145+'Свод '!W145+'Свод '!Y145+'Свод '!AA145+'Свод '!AS145+'Свод '!AU145+'Свод '!AW145+'Свод '!AY145+'Свод '!DE145+'Свод '!EQ145+'Свод '!ES145+'Свод '!EU145+'Свод '!EW145+'Свод '!EY145+'Свод '!FA145+'Свод '!HA145+'Свод '!HC145+U145+W145+AA145+AC145</f>
        <v>379.3</v>
      </c>
    </row>
    <row r="146" spans="1:41" ht="12.75" customHeight="1">
      <c r="A146" s="111" t="s">
        <v>120</v>
      </c>
      <c r="B146" s="104"/>
      <c r="C146" s="42"/>
      <c r="D146" s="40"/>
      <c r="E146" s="40"/>
      <c r="F146" s="43">
        <v>353</v>
      </c>
      <c r="G146" s="42">
        <v>353</v>
      </c>
      <c r="H146" s="40"/>
      <c r="I146" s="40"/>
      <c r="J146" s="112"/>
      <c r="K146" s="42"/>
      <c r="L146" s="40"/>
      <c r="M146" s="40"/>
      <c r="N146" s="40"/>
      <c r="O146" s="40"/>
      <c r="P146" s="40"/>
      <c r="Q146" s="40"/>
      <c r="R146" s="42">
        <f t="shared" si="16"/>
        <v>353</v>
      </c>
      <c r="S146" s="42">
        <f t="shared" si="17"/>
        <v>353</v>
      </c>
      <c r="T146" s="42"/>
      <c r="U146" s="42"/>
      <c r="V146" s="40"/>
      <c r="W146" s="40"/>
      <c r="X146" s="42">
        <f t="shared" si="18"/>
        <v>0</v>
      </c>
      <c r="Y146" s="42">
        <f t="shared" si="19"/>
        <v>0</v>
      </c>
      <c r="Z146" s="42"/>
      <c r="AA146" s="42"/>
      <c r="AB146" s="40"/>
      <c r="AC146" s="40"/>
      <c r="AD146" s="42">
        <f t="shared" si="20"/>
        <v>0</v>
      </c>
      <c r="AE146" s="42">
        <f t="shared" si="21"/>
        <v>0</v>
      </c>
      <c r="AF146" s="42">
        <f>'Свод '!AH146+'Свод '!AZ146+'Свод '!BB146+'Свод '!CF146+'Свод '!DF146+'Свод '!DJ146+'Свод '!DP146+'Свод '!FB146+'Свод '!FH146+'Свод '!HD146+'Свод '!HP146+'Свод '!HX146+Лист1!R146+Лист1!AD146+X146</f>
        <v>38648.08801</v>
      </c>
      <c r="AG146" s="42">
        <f>'Свод '!AI146+'Свод '!BA146+'Свод '!BC146+'Свод '!CG146+'Свод '!DG146+'Свод '!DK146+'Свод '!DQ146+'Свод '!FC146+'Свод '!FI146+'Свод '!HE146+'Свод '!HQ146+'Свод '!HY146+Лист1!S146+Лист1!AE146+Y146</f>
        <v>38569.73401</v>
      </c>
      <c r="AH146" s="42">
        <f>'Свод '!B146+'Свод '!D146+'Свод '!F146+'Свод '!H146</f>
        <v>1764</v>
      </c>
      <c r="AI146" s="42">
        <f>'Свод '!C146+'Свод '!E146+'Свод '!G146+'Свод '!I146</f>
        <v>1764</v>
      </c>
      <c r="AJ146" s="39">
        <f>'Свод '!AB146+'Свод '!AD146+'Свод '!AL146+'Свод '!AN146+'Свод '!AP146+'Свод '!BD146+'Свод '!BF146+'Свод '!BH146+'Свод '!BJ146+'Свод '!BL146+'Свод '!BN146+'Свод '!BP146+'Свод '!BR146+'Свод '!BT146+'Свод '!BV146+'Свод '!BX146+'Свод '!BZ146+'Свод '!CH146+'Свод '!CJ146+'Свод '!CL146+'Свод '!CN146+'Свод '!CP146+'Свод '!CR146+'Свод '!CT146+'Свод '!CV146+'Свод '!CX146+'Свод '!CZ146+'Свод '!DB146+'Свод '!DH146+'Свод '!DN146+'Свод '!DR146+'Свод '!DT146+'Свод '!DV146+'Свод '!DX146+'Свод '!DZ146+'Свод '!EB146+'Свод '!ED146+'Свод '!EF146+'Свод '!EH146+'Свод '!EJ146+'Свод '!EL146+'Свод '!FJ146+'Свод '!FL146+'Свод '!FN146+'Свод '!FP146+'Свод '!FR146+'Свод '!FT146+'Свод '!FV146+'Свод '!FX146+'Свод '!FZ146+'Свод '!GB146+'Свод '!GD146+'Свод '!GF146+'Свод '!GH146+'Свод '!HF146+'Свод '!HH146+'Свод '!HJ146+'Свод '!HL146+'Свод '!HN146+'Свод '!HR146+Лист1!B146+Лист1!D146+Лист1!F146+Лист1!H146+Лист1!J146+Лист1!L146+Лист1!N146+Лист1!P146+'Свод '!DL146</f>
        <v>9000.762999999999</v>
      </c>
      <c r="AK146" s="39">
        <f>'Свод '!AC146+'Свод '!AE146+'Свод '!AM146+'Свод '!AO146+'Свод '!AQ146+'Свод '!BE146+'Свод '!BG146+'Свод '!BI146+'Свод '!BK146+'Свод '!BM146+'Свод '!BO146+'Свод '!BQ146+'Свод '!BS146+'Свод '!BU146+'Свод '!BW146+'Свод '!BY146+'Свод '!CA146+'Свод '!CI146+'Свод '!CK146+'Свод '!CM146+'Свод '!CO146+'Свод '!CQ146+'Свод '!CS146+'Свод '!CU146+'Свод '!CW146+'Свод '!CY146+'Свод '!DA146+'Свод '!DC146+'Свод '!DI146+'Свод '!DO146+'Свод '!DS146+'Свод '!DU146+'Свод '!DW146+'Свод '!DY146+'Свод '!EA146+'Свод '!EC146+'Свод '!EE146+'Свод '!EG146+'Свод '!EI146+'Свод '!EK146+'Свод '!EM146+'Свод '!FK146+'Свод '!FM146+'Свод '!FO146+'Свод '!FQ146+'Свод '!FS146+'Свод '!FU146+'Свод '!FW146+'Свод '!FY146+'Свод '!GA146+'Свод '!GC146+'Свод '!GE146+'Свод '!GG146+'Свод '!GI146+'Свод '!HG146+'Свод '!HI146+'Свод '!HK146+'Свод '!HM146+'Свод '!HO146+'Свод '!HS146+Лист1!C146+Лист1!E146+Лист1!G146+Лист1!I146+Лист1!K146+Лист1!M146+Лист1!O146+Лист1!Q146+'Свод '!DM146</f>
        <v>8922.409</v>
      </c>
      <c r="AL146" s="144">
        <f>'Свод '!AF146+'Свод '!AJ146+'Свод '!BB146+'Свод '!CB146+'Свод '!CD146+'Свод '!EN146+'Свод '!FD146+'Свод '!FF146+'Свод '!GJ146+'Свод '!GL146+'Свод '!GN146+'Свод '!GP146+'Свод '!GR146+'Свод '!GT146+'Свод '!GV146+'Свод '!GX146+'Свод '!HT146+'Свод '!HV146</f>
        <v>0</v>
      </c>
      <c r="AM146" s="42">
        <f>'Свод '!AG146+'Свод '!AK146+'Свод '!BC146+'Свод '!CC146+'Свод '!CE146+'Свод '!EO146+'Свод '!FE146+'Свод '!FG146+'Свод '!GK146+'Свод '!GM146+'Свод '!GO146+'Свод '!GQ146+'Свод '!GS146+'Свод '!GU146+'Свод '!GW146+'Свод '!GY146+'Свод '!HU146+'Свод '!HW146</f>
        <v>0</v>
      </c>
      <c r="AN146" s="42">
        <f>'Свод '!J146+'Свод '!L146+'Свод '!N146+'Свод '!P146+'Свод '!R146+'Свод '!T146+'Свод '!V146+'Свод '!X146+'Свод '!Z146+'Свод '!AR146+'Свод '!AT146+'Свод '!AV146+'Свод '!AX146+'Свод '!DD146+'Свод '!EP146+'Свод '!ER146+'Свод '!ET146+'Свод '!EV146+'Свод '!EX146+'Свод '!EZ146+'Свод '!GZ146+'Свод '!HB146+T146+V146+Z146+AB146</f>
        <v>27883.32501</v>
      </c>
      <c r="AO146" s="42">
        <f>'Свод '!K146+'Свод '!M146+'Свод '!O146+'Свод '!Q146+'Свод '!S146+'Свод '!U146+'Свод '!W146+'Свод '!Y146+'Свод '!AA146+'Свод '!AS146+'Свод '!AU146+'Свод '!AW146+'Свод '!AY146+'Свод '!DE146+'Свод '!EQ146+'Свод '!ES146+'Свод '!EU146+'Свод '!EW146+'Свод '!EY146+'Свод '!FA146+'Свод '!HA146+'Свод '!HC146+U146+W146+AA146+AC146</f>
        <v>27883.32501</v>
      </c>
    </row>
    <row r="147" spans="1:41" ht="12.75">
      <c r="A147" s="111" t="s">
        <v>287</v>
      </c>
      <c r="B147" s="104"/>
      <c r="C147" s="42"/>
      <c r="D147" s="40"/>
      <c r="E147" s="40"/>
      <c r="F147" s="43"/>
      <c r="G147" s="46"/>
      <c r="H147" s="40"/>
      <c r="I147" s="40"/>
      <c r="J147" s="104">
        <v>11705</v>
      </c>
      <c r="K147" s="42">
        <v>11455.74899</v>
      </c>
      <c r="L147" s="40"/>
      <c r="M147" s="40"/>
      <c r="N147" s="40"/>
      <c r="O147" s="40"/>
      <c r="P147" s="40"/>
      <c r="Q147" s="40"/>
      <c r="R147" s="42">
        <f t="shared" si="16"/>
        <v>11705</v>
      </c>
      <c r="S147" s="42">
        <f t="shared" si="17"/>
        <v>11455.74899</v>
      </c>
      <c r="T147" s="42"/>
      <c r="U147" s="42"/>
      <c r="V147" s="40"/>
      <c r="W147" s="40"/>
      <c r="X147" s="42">
        <f t="shared" si="18"/>
        <v>0</v>
      </c>
      <c r="Y147" s="42">
        <f t="shared" si="19"/>
        <v>0</v>
      </c>
      <c r="Z147" s="42"/>
      <c r="AA147" s="42"/>
      <c r="AB147" s="40"/>
      <c r="AC147" s="40"/>
      <c r="AD147" s="42">
        <f t="shared" si="20"/>
        <v>0</v>
      </c>
      <c r="AE147" s="42">
        <f t="shared" si="21"/>
        <v>0</v>
      </c>
      <c r="AF147" s="42">
        <f>'Свод '!AH147+'Свод '!AZ147+'Свод '!BB147+'Свод '!CF147+'Свод '!DF147+'Свод '!DJ147+'Свод '!DP147+'Свод '!FB147+'Свод '!FH147+'Свод '!HD147+'Свод '!HP147+'Свод '!HX147+Лист1!R147+Лист1!AD147+X147</f>
        <v>33828.01659</v>
      </c>
      <c r="AG147" s="42">
        <f>'Свод '!AI147+'Свод '!BA147+'Свод '!BC147+'Свод '!CG147+'Свод '!DG147+'Свод '!DK147+'Свод '!DQ147+'Свод '!FC147+'Свод '!FI147+'Свод '!HE147+'Свод '!HQ147+'Свод '!HY147+Лист1!S147+Лист1!AE147+Y147</f>
        <v>32590.32058</v>
      </c>
      <c r="AH147" s="42">
        <f>'Свод '!B147+'Свод '!D147+'Свод '!F147+'Свод '!H147</f>
        <v>3035.0000000000005</v>
      </c>
      <c r="AI147" s="42">
        <f>'Свод '!C147+'Свод '!E147+'Свод '!G147+'Свод '!I147</f>
        <v>3035.0000000000005</v>
      </c>
      <c r="AJ147" s="39">
        <f>'Свод '!AB147+'Свод '!AD147+'Свод '!AL147+'Свод '!AN147+'Свод '!AP147+'Свод '!BD147+'Свод '!BF147+'Свод '!BH147+'Свод '!BJ147+'Свод '!BL147+'Свод '!BN147+'Свод '!BP147+'Свод '!BR147+'Свод '!BT147+'Свод '!BV147+'Свод '!BX147+'Свод '!BZ147+'Свод '!CH147+'Свод '!CJ147+'Свод '!CL147+'Свод '!CN147+'Свод '!CP147+'Свод '!CR147+'Свод '!CT147+'Свод '!CV147+'Свод '!CX147+'Свод '!CZ147+'Свод '!DB147+'Свод '!DH147+'Свод '!DN147+'Свод '!DR147+'Свод '!DT147+'Свод '!DV147+'Свод '!DX147+'Свод '!DZ147+'Свод '!EB147+'Свод '!ED147+'Свод '!EF147+'Свод '!EH147+'Свод '!EJ147+'Свод '!EL147+'Свод '!FJ147+'Свод '!FL147+'Свод '!FN147+'Свод '!FP147+'Свод '!FR147+'Свод '!FT147+'Свод '!FV147+'Свод '!FX147+'Свод '!FZ147+'Свод '!GB147+'Свод '!GD147+'Свод '!GF147+'Свод '!GH147+'Свод '!HF147+'Свод '!HH147+'Свод '!HJ147+'Свод '!HL147+'Свод '!HN147+'Свод '!HR147+Лист1!B147+Лист1!D147+Лист1!F147+Лист1!H147+Лист1!J147+Лист1!L147+Лист1!N147+Лист1!P147+'Свод '!DL147</f>
        <v>30497.5</v>
      </c>
      <c r="AK147" s="39">
        <f>'Свод '!AC147+'Свод '!AE147+'Свод '!AM147+'Свод '!AO147+'Свод '!AQ147+'Свод '!BE147+'Свод '!BG147+'Свод '!BI147+'Свод '!BK147+'Свод '!BM147+'Свод '!BO147+'Свод '!BQ147+'Свод '!BS147+'Свод '!BU147+'Свод '!BW147+'Свод '!BY147+'Свод '!CA147+'Свод '!CI147+'Свод '!CK147+'Свод '!CM147+'Свод '!CO147+'Свод '!CQ147+'Свод '!CS147+'Свод '!CU147+'Свод '!CW147+'Свод '!CY147+'Свод '!DA147+'Свод '!DC147+'Свод '!DI147+'Свод '!DO147+'Свод '!DS147+'Свод '!DU147+'Свод '!DW147+'Свод '!DY147+'Свод '!EA147+'Свод '!EC147+'Свод '!EE147+'Свод '!EG147+'Свод '!EI147+'Свод '!EK147+'Свод '!EM147+'Свод '!FK147+'Свод '!FM147+'Свод '!FO147+'Свод '!FQ147+'Свод '!FS147+'Свод '!FU147+'Свод '!FW147+'Свод '!FY147+'Свод '!GA147+'Свод '!GC147+'Свод '!GE147+'Свод '!GG147+'Свод '!GI147+'Свод '!HG147+'Свод '!HI147+'Свод '!HK147+'Свод '!HM147+'Свод '!HO147+'Свод '!HS147+Лист1!C147+Лист1!E147+Лист1!G147+Лист1!I147+Лист1!K147+Лист1!M147+Лист1!O147+Лист1!Q147+'Свод '!DM147</f>
        <v>29259.80399</v>
      </c>
      <c r="AL147" s="144">
        <f>'Свод '!AF147+'Свод '!AJ147+'Свод '!BB147+'Свод '!CB147+'Свод '!CD147+'Свод '!EN147+'Свод '!FD147+'Свод '!FF147+'Свод '!GJ147+'Свод '!GL147+'Свод '!GN147+'Свод '!GP147+'Свод '!GR147+'Свод '!GT147+'Свод '!GV147+'Свод '!GX147+'Свод '!HT147+'Свод '!HV147</f>
        <v>290</v>
      </c>
      <c r="AM147" s="42">
        <f>'Свод '!AG147+'Свод '!AK147+'Свод '!BC147+'Свод '!CC147+'Свод '!CE147+'Свод '!EO147+'Свод '!FE147+'Свод '!FG147+'Свод '!GK147+'Свод '!GM147+'Свод '!GO147+'Свод '!GQ147+'Свод '!GS147+'Свод '!GU147+'Свод '!GW147+'Свод '!GY147+'Свод '!HU147+'Свод '!HW147</f>
        <v>289.99999999999994</v>
      </c>
      <c r="AN147" s="42">
        <f>'Свод '!J147+'Свод '!L147+'Свод '!N147+'Свод '!P147+'Свод '!R147+'Свод '!T147+'Свод '!V147+'Свод '!X147+'Свод '!Z147+'Свод '!AR147+'Свод '!AT147+'Свод '!AV147+'Свод '!AX147+'Свод '!DD147+'Свод '!EP147+'Свод '!ER147+'Свод '!ET147+'Свод '!EV147+'Свод '!EX147+'Свод '!EZ147+'Свод '!GZ147+'Свод '!HB147+T147+V147+Z147+AB147</f>
        <v>5.51659</v>
      </c>
      <c r="AO147" s="42">
        <f>'Свод '!K147+'Свод '!M147+'Свод '!O147+'Свод '!Q147+'Свод '!S147+'Свод '!U147+'Свод '!W147+'Свод '!Y147+'Свод '!AA147+'Свод '!AS147+'Свод '!AU147+'Свод '!AW147+'Свод '!AY147+'Свод '!DE147+'Свод '!EQ147+'Свод '!ES147+'Свод '!EU147+'Свод '!EW147+'Свод '!EY147+'Свод '!FA147+'Свод '!HA147+'Свод '!HC147+U147+W147+AA147+AC147</f>
        <v>5.51659</v>
      </c>
    </row>
    <row r="148" spans="1:41" ht="12.75" customHeight="1">
      <c r="A148" s="111" t="s">
        <v>288</v>
      </c>
      <c r="B148" s="104"/>
      <c r="C148" s="42"/>
      <c r="D148" s="40"/>
      <c r="E148" s="40"/>
      <c r="F148" s="43"/>
      <c r="G148" s="46"/>
      <c r="H148" s="40"/>
      <c r="I148" s="40"/>
      <c r="J148" s="112"/>
      <c r="K148" s="42"/>
      <c r="L148" s="40"/>
      <c r="M148" s="40"/>
      <c r="N148" s="40"/>
      <c r="O148" s="40"/>
      <c r="P148" s="40"/>
      <c r="Q148" s="40"/>
      <c r="R148" s="42">
        <f t="shared" si="16"/>
        <v>0</v>
      </c>
      <c r="S148" s="42">
        <f t="shared" si="17"/>
        <v>0</v>
      </c>
      <c r="T148" s="42"/>
      <c r="U148" s="42"/>
      <c r="V148" s="40"/>
      <c r="W148" s="40"/>
      <c r="X148" s="42">
        <f t="shared" si="18"/>
        <v>0</v>
      </c>
      <c r="Y148" s="42">
        <f t="shared" si="19"/>
        <v>0</v>
      </c>
      <c r="Z148" s="42"/>
      <c r="AA148" s="42"/>
      <c r="AB148" s="40"/>
      <c r="AC148" s="40"/>
      <c r="AD148" s="42">
        <f t="shared" si="20"/>
        <v>0</v>
      </c>
      <c r="AE148" s="42">
        <f t="shared" si="21"/>
        <v>0</v>
      </c>
      <c r="AF148" s="42">
        <f>'Свод '!AH148+'Свод '!AZ148+'Свод '!BB148+'Свод '!CF148+'Свод '!DF148+'Свод '!DJ148+'Свод '!DP148+'Свод '!FB148+'Свод '!FH148+'Свод '!HD148+'Свод '!HP148+'Свод '!HX148+Лист1!R148+Лист1!AD148+X148</f>
        <v>8310.53829</v>
      </c>
      <c r="AG148" s="42">
        <f>'Свод '!AI148+'Свод '!BA148+'Свод '!BC148+'Свод '!CG148+'Свод '!DG148+'Свод '!DK148+'Свод '!DQ148+'Свод '!FC148+'Свод '!FI148+'Свод '!HE148+'Свод '!HQ148+'Свод '!HY148+Лист1!S148+Лист1!AE148+Y148</f>
        <v>8145.122700000001</v>
      </c>
      <c r="AH148" s="42">
        <f>'Свод '!B148+'Свод '!D148+'Свод '!F148+'Свод '!H148</f>
        <v>4232</v>
      </c>
      <c r="AI148" s="42">
        <f>'Свод '!C148+'Свод '!E148+'Свод '!G148+'Свод '!I148</f>
        <v>4232</v>
      </c>
      <c r="AJ148" s="39">
        <f>'Свод '!AB148+'Свод '!AD148+'Свод '!AL148+'Свод '!AN148+'Свод '!AP148+'Свод '!BD148+'Свод '!BF148+'Свод '!BH148+'Свод '!BJ148+'Свод '!BL148+'Свод '!BN148+'Свод '!BP148+'Свод '!BR148+'Свод '!BT148+'Свод '!BV148+'Свод '!BX148+'Свод '!BZ148+'Свод '!CH148+'Свод '!CJ148+'Свод '!CL148+'Свод '!CN148+'Свод '!CP148+'Свод '!CR148+'Свод '!CT148+'Свод '!CV148+'Свод '!CX148+'Свод '!CZ148+'Свод '!DB148+'Свод '!DH148+'Свод '!DN148+'Свод '!DR148+'Свод '!DT148+'Свод '!DV148+'Свод '!DX148+'Свод '!DZ148+'Свод '!EB148+'Свод '!ED148+'Свод '!EF148+'Свод '!EH148+'Свод '!EJ148+'Свод '!EL148+'Свод '!FJ148+'Свод '!FL148+'Свод '!FN148+'Свод '!FP148+'Свод '!FR148+'Свод '!FT148+'Свод '!FV148+'Свод '!FX148+'Свод '!FZ148+'Свод '!GB148+'Свод '!GD148+'Свод '!GF148+'Свод '!GH148+'Свод '!HF148+'Свод '!HH148+'Свод '!HJ148+'Свод '!HL148+'Свод '!HN148+'Свод '!HR148+Лист1!B148+Лист1!D148+Лист1!F148+Лист1!H148+Лист1!J148+Лист1!L148+Лист1!N148+Лист1!P148+'Свод '!DL148</f>
        <v>3886.52</v>
      </c>
      <c r="AK148" s="39">
        <f>'Свод '!AC148+'Свод '!AE148+'Свод '!AM148+'Свод '!AO148+'Свод '!AQ148+'Свод '!BE148+'Свод '!BG148+'Свод '!BI148+'Свод '!BK148+'Свод '!BM148+'Свод '!BO148+'Свод '!BQ148+'Свод '!BS148+'Свод '!BU148+'Свод '!BW148+'Свод '!BY148+'Свод '!CA148+'Свод '!CI148+'Свод '!CK148+'Свод '!CM148+'Свод '!CO148+'Свод '!CQ148+'Свод '!CS148+'Свод '!CU148+'Свод '!CW148+'Свод '!CY148+'Свод '!DA148+'Свод '!DC148+'Свод '!DI148+'Свод '!DO148+'Свод '!DS148+'Свод '!DU148+'Свод '!DW148+'Свод '!DY148+'Свод '!EA148+'Свод '!EC148+'Свод '!EE148+'Свод '!EG148+'Свод '!EI148+'Свод '!EK148+'Свод '!EM148+'Свод '!FK148+'Свод '!FM148+'Свод '!FO148+'Свод '!FQ148+'Свод '!FS148+'Свод '!FU148+'Свод '!FW148+'Свод '!FY148+'Свод '!GA148+'Свод '!GC148+'Свод '!GE148+'Свод '!GG148+'Свод '!GI148+'Свод '!HG148+'Свод '!HI148+'Свод '!HK148+'Свод '!HM148+'Свод '!HO148+'Свод '!HS148+Лист1!C148+Лист1!E148+Лист1!G148+Лист1!I148+Лист1!K148+Лист1!M148+Лист1!O148+Лист1!Q148+'Свод '!DM148</f>
        <v>3723.52</v>
      </c>
      <c r="AL148" s="144">
        <f>'Свод '!AF148+'Свод '!AJ148+'Свод '!BB148+'Свод '!CB148+'Свод '!CD148+'Свод '!EN148+'Свод '!FD148+'Свод '!FF148+'Свод '!GJ148+'Свод '!GL148+'Свод '!GN148+'Свод '!GP148+'Свод '!GR148+'Свод '!GT148+'Свод '!GV148+'Свод '!GX148+'Свод '!HT148+'Свод '!HV148</f>
        <v>147</v>
      </c>
      <c r="AM148" s="42">
        <f>'Свод '!AG148+'Свод '!AK148+'Свод '!BC148+'Свод '!CC148+'Свод '!CE148+'Свод '!EO148+'Свод '!FE148+'Свод '!FG148+'Свод '!GK148+'Свод '!GM148+'Свод '!GO148+'Свод '!GQ148+'Свод '!GS148+'Свод '!GU148+'Свод '!GW148+'Свод '!GY148+'Свод '!HU148+'Свод '!HW148</f>
        <v>147</v>
      </c>
      <c r="AN148" s="42">
        <f>'Свод '!J148+'Свод '!L148+'Свод '!N148+'Свод '!P148+'Свод '!R148+'Свод '!T148+'Свод '!V148+'Свод '!X148+'Свод '!Z148+'Свод '!AR148+'Свод '!AT148+'Свод '!AV148+'Свод '!AX148+'Свод '!DD148+'Свод '!EP148+'Свод '!ER148+'Свод '!ET148+'Свод '!EV148+'Свод '!EX148+'Свод '!EZ148+'Свод '!GZ148+'Свод '!HB148+T148+V148+Z148+AB148</f>
        <v>45.01829</v>
      </c>
      <c r="AO148" s="42">
        <f>'Свод '!K148+'Свод '!M148+'Свод '!O148+'Свод '!Q148+'Свод '!S148+'Свод '!U148+'Свод '!W148+'Свод '!Y148+'Свод '!AA148+'Свод '!AS148+'Свод '!AU148+'Свод '!AW148+'Свод '!AY148+'Свод '!DE148+'Свод '!EQ148+'Свод '!ES148+'Свод '!EU148+'Свод '!EW148+'Свод '!EY148+'Свод '!FA148+'Свод '!HA148+'Свод '!HC148+U148+W148+AA148+AC148</f>
        <v>42.6027</v>
      </c>
    </row>
    <row r="149" spans="1:41" ht="12.75">
      <c r="A149" s="111" t="s">
        <v>289</v>
      </c>
      <c r="B149" s="104"/>
      <c r="C149" s="42"/>
      <c r="D149" s="40"/>
      <c r="E149" s="40"/>
      <c r="F149" s="43"/>
      <c r="G149" s="46"/>
      <c r="H149" s="40"/>
      <c r="I149" s="40"/>
      <c r="J149" s="112"/>
      <c r="K149" s="42"/>
      <c r="L149" s="40"/>
      <c r="M149" s="40"/>
      <c r="N149" s="40"/>
      <c r="O149" s="40"/>
      <c r="P149" s="40"/>
      <c r="Q149" s="40"/>
      <c r="R149" s="42">
        <f t="shared" si="16"/>
        <v>0</v>
      </c>
      <c r="S149" s="42">
        <f t="shared" si="17"/>
        <v>0</v>
      </c>
      <c r="T149" s="42"/>
      <c r="U149" s="42"/>
      <c r="V149" s="40"/>
      <c r="W149" s="40"/>
      <c r="X149" s="42">
        <f t="shared" si="18"/>
        <v>0</v>
      </c>
      <c r="Y149" s="42">
        <f t="shared" si="19"/>
        <v>0</v>
      </c>
      <c r="Z149" s="42"/>
      <c r="AA149" s="42"/>
      <c r="AB149" s="40"/>
      <c r="AC149" s="40"/>
      <c r="AD149" s="42">
        <f t="shared" si="20"/>
        <v>0</v>
      </c>
      <c r="AE149" s="42">
        <f t="shared" si="21"/>
        <v>0</v>
      </c>
      <c r="AF149" s="42">
        <f>'Свод '!AH149+'Свод '!AZ149+'Свод '!BB149+'Свод '!CF149+'Свод '!DF149+'Свод '!DJ149+'Свод '!DP149+'Свод '!FB149+'Свод '!FH149+'Свод '!HD149+'Свод '!HP149+'Свод '!HX149+Лист1!R149+Лист1!AD149+X149</f>
        <v>7898.87982</v>
      </c>
      <c r="AG149" s="42">
        <f>'Свод '!AI149+'Свод '!BA149+'Свод '!BC149+'Свод '!CG149+'Свод '!DG149+'Свод '!DK149+'Свод '!DQ149+'Свод '!FC149+'Свод '!FI149+'Свод '!HE149+'Свод '!HQ149+'Свод '!HY149+Лист1!S149+Лист1!AE149+Y149</f>
        <v>7898.87982</v>
      </c>
      <c r="AH149" s="42">
        <f>'Свод '!B149+'Свод '!D149+'Свод '!F149+'Свод '!H149</f>
        <v>3649.9999999999995</v>
      </c>
      <c r="AI149" s="42">
        <f>'Свод '!C149+'Свод '!E149+'Свод '!G149+'Свод '!I149</f>
        <v>3649.9999999999995</v>
      </c>
      <c r="AJ149" s="39">
        <f>'Свод '!AB149+'Свод '!AD149+'Свод '!AL149+'Свод '!AN149+'Свод '!AP149+'Свод '!BD149+'Свод '!BF149+'Свод '!BH149+'Свод '!BJ149+'Свод '!BL149+'Свод '!BN149+'Свод '!BP149+'Свод '!BR149+'Свод '!BT149+'Свод '!BV149+'Свод '!BX149+'Свод '!BZ149+'Свод '!CH149+'Свод '!CJ149+'Свод '!CL149+'Свод '!CN149+'Свод '!CP149+'Свод '!CR149+'Свод '!CT149+'Свод '!CV149+'Свод '!CX149+'Свод '!CZ149+'Свод '!DB149+'Свод '!DH149+'Свод '!DN149+'Свод '!DR149+'Свод '!DT149+'Свод '!DV149+'Свод '!DX149+'Свод '!DZ149+'Свод '!EB149+'Свод '!ED149+'Свод '!EF149+'Свод '!EH149+'Свод '!EJ149+'Свод '!EL149+'Свод '!FJ149+'Свод '!FL149+'Свод '!FN149+'Свод '!FP149+'Свод '!FR149+'Свод '!FT149+'Свод '!FV149+'Свод '!FX149+'Свод '!FZ149+'Свод '!GB149+'Свод '!GD149+'Свод '!GF149+'Свод '!GH149+'Свод '!HF149+'Свод '!HH149+'Свод '!HJ149+'Свод '!HL149+'Свод '!HN149+'Свод '!HR149+Лист1!B149+Лист1!D149+Лист1!F149+Лист1!H149+Лист1!J149+Лист1!L149+Лист1!N149+Лист1!P149+'Свод '!DL149</f>
        <v>2592</v>
      </c>
      <c r="AK149" s="39">
        <f>'Свод '!AC149+'Свод '!AE149+'Свод '!AM149+'Свод '!AO149+'Свод '!AQ149+'Свод '!BE149+'Свод '!BG149+'Свод '!BI149+'Свод '!BK149+'Свод '!BM149+'Свод '!BO149+'Свод '!BQ149+'Свод '!BS149+'Свод '!BU149+'Свод '!BW149+'Свод '!BY149+'Свод '!CA149+'Свод '!CI149+'Свод '!CK149+'Свод '!CM149+'Свод '!CO149+'Свод '!CQ149+'Свод '!CS149+'Свод '!CU149+'Свод '!CW149+'Свод '!CY149+'Свод '!DA149+'Свод '!DC149+'Свод '!DI149+'Свод '!DO149+'Свод '!DS149+'Свод '!DU149+'Свод '!DW149+'Свод '!DY149+'Свод '!EA149+'Свод '!EC149+'Свод '!EE149+'Свод '!EG149+'Свод '!EI149+'Свод '!EK149+'Свод '!EM149+'Свод '!FK149+'Свод '!FM149+'Свод '!FO149+'Свод '!FQ149+'Свод '!FS149+'Свод '!FU149+'Свод '!FW149+'Свод '!FY149+'Свод '!GA149+'Свод '!GC149+'Свод '!GE149+'Свод '!GG149+'Свод '!GI149+'Свод '!HG149+'Свод '!HI149+'Свод '!HK149+'Свод '!HM149+'Свод '!HO149+'Свод '!HS149+Лист1!C149+Лист1!E149+Лист1!G149+Лист1!I149+Лист1!K149+Лист1!M149+Лист1!O149+Лист1!Q149+'Свод '!DM149</f>
        <v>2592</v>
      </c>
      <c r="AL149" s="144">
        <f>'Свод '!AF149+'Свод '!AJ149+'Свод '!BB149+'Свод '!CB149+'Свод '!CD149+'Свод '!EN149+'Свод '!FD149+'Свод '!FF149+'Свод '!GJ149+'Свод '!GL149+'Свод '!GN149+'Свод '!GP149+'Свод '!GR149+'Свод '!GT149+'Свод '!GV149+'Свод '!GX149+'Свод '!HT149+'Свод '!HV149</f>
        <v>147</v>
      </c>
      <c r="AM149" s="42">
        <f>'Свод '!AG149+'Свод '!AK149+'Свод '!BC149+'Свод '!CC149+'Свод '!CE149+'Свод '!EO149+'Свод '!FE149+'Свод '!FG149+'Свод '!GK149+'Свод '!GM149+'Свод '!GO149+'Свод '!GQ149+'Свод '!GS149+'Свод '!GU149+'Свод '!GW149+'Свод '!GY149+'Свод '!HU149+'Свод '!HW149</f>
        <v>147</v>
      </c>
      <c r="AN149" s="42">
        <f>'Свод '!J149+'Свод '!L149+'Свод '!N149+'Свод '!P149+'Свод '!R149+'Свод '!T149+'Свод '!V149+'Свод '!X149+'Свод '!Z149+'Свод '!AR149+'Свод '!AT149+'Свод '!AV149+'Свод '!AX149+'Свод '!DD149+'Свод '!EP149+'Свод '!ER149+'Свод '!ET149+'Свод '!EV149+'Свод '!EX149+'Свод '!EZ149+'Свод '!GZ149+'Свод '!HB149+T149+V149+Z149+AB149</f>
        <v>1509.87982</v>
      </c>
      <c r="AO149" s="42">
        <f>'Свод '!K149+'Свод '!M149+'Свод '!O149+'Свод '!Q149+'Свод '!S149+'Свод '!U149+'Свод '!W149+'Свод '!Y149+'Свод '!AA149+'Свод '!AS149+'Свод '!AU149+'Свод '!AW149+'Свод '!AY149+'Свод '!DE149+'Свод '!EQ149+'Свод '!ES149+'Свод '!EU149+'Свод '!EW149+'Свод '!EY149+'Свод '!FA149+'Свод '!HA149+'Свод '!HC149+U149+W149+AA149+AC149</f>
        <v>1509.87982</v>
      </c>
    </row>
    <row r="150" spans="1:41" ht="12.75" customHeight="1">
      <c r="A150" s="111" t="s">
        <v>290</v>
      </c>
      <c r="B150" s="104"/>
      <c r="C150" s="42"/>
      <c r="D150" s="40"/>
      <c r="E150" s="40"/>
      <c r="F150" s="43"/>
      <c r="G150" s="46"/>
      <c r="H150" s="40"/>
      <c r="I150" s="40"/>
      <c r="J150" s="104">
        <v>7540</v>
      </c>
      <c r="K150" s="42">
        <v>744.945</v>
      </c>
      <c r="L150" s="40"/>
      <c r="M150" s="40"/>
      <c r="N150" s="40"/>
      <c r="O150" s="40"/>
      <c r="P150" s="40"/>
      <c r="Q150" s="40"/>
      <c r="R150" s="42">
        <f t="shared" si="16"/>
        <v>7540</v>
      </c>
      <c r="S150" s="42">
        <f t="shared" si="17"/>
        <v>744.945</v>
      </c>
      <c r="T150" s="42"/>
      <c r="U150" s="42"/>
      <c r="V150" s="40"/>
      <c r="W150" s="40"/>
      <c r="X150" s="42">
        <f t="shared" si="18"/>
        <v>0</v>
      </c>
      <c r="Y150" s="42">
        <f t="shared" si="19"/>
        <v>0</v>
      </c>
      <c r="Z150" s="42"/>
      <c r="AA150" s="42"/>
      <c r="AB150" s="40"/>
      <c r="AC150" s="40"/>
      <c r="AD150" s="42">
        <f t="shared" si="20"/>
        <v>0</v>
      </c>
      <c r="AE150" s="42">
        <f t="shared" si="21"/>
        <v>0</v>
      </c>
      <c r="AF150" s="42">
        <f>'Свод '!AH150+'Свод '!AZ150+'Свод '!BB150+'Свод '!CF150+'Свод '!DF150+'Свод '!DJ150+'Свод '!DP150+'Свод '!FB150+'Свод '!FH150+'Свод '!HD150+'Свод '!HP150+'Свод '!HX150+Лист1!R150+Лист1!AD150+X150</f>
        <v>27193.57618</v>
      </c>
      <c r="AG150" s="42">
        <f>'Свод '!AI150+'Свод '!BA150+'Свод '!BC150+'Свод '!CG150+'Свод '!DG150+'Свод '!DK150+'Свод '!DQ150+'Свод '!FC150+'Свод '!FI150+'Свод '!HE150+'Свод '!HQ150+'Свод '!HY150+Лист1!S150+Лист1!AE150+Y150</f>
        <v>20255.441179999998</v>
      </c>
      <c r="AH150" s="42">
        <f>'Свод '!B150+'Свод '!D150+'Свод '!F150+'Свод '!H150</f>
        <v>7227</v>
      </c>
      <c r="AI150" s="42">
        <f>'Свод '!C150+'Свод '!E150+'Свод '!G150+'Свод '!I150</f>
        <v>7227</v>
      </c>
      <c r="AJ150" s="39">
        <f>'Свод '!AB150+'Свод '!AD150+'Свод '!AL150+'Свод '!AN150+'Свод '!AP150+'Свод '!BD150+'Свод '!BF150+'Свод '!BH150+'Свод '!BJ150+'Свод '!BL150+'Свод '!BN150+'Свод '!BP150+'Свод '!BR150+'Свод '!BT150+'Свод '!BV150+'Свод '!BX150+'Свод '!BZ150+'Свод '!CH150+'Свод '!CJ150+'Свод '!CL150+'Свод '!CN150+'Свод '!CP150+'Свод '!CR150+'Свод '!CT150+'Свод '!CV150+'Свод '!CX150+'Свод '!CZ150+'Свод '!DB150+'Свод '!DH150+'Свод '!DN150+'Свод '!DR150+'Свод '!DT150+'Свод '!DV150+'Свод '!DX150+'Свод '!DZ150+'Свод '!EB150+'Свод '!ED150+'Свод '!EF150+'Свод '!EH150+'Свод '!EJ150+'Свод '!EL150+'Свод '!FJ150+'Свод '!FL150+'Свод '!FN150+'Свод '!FP150+'Свод '!FR150+'Свод '!FT150+'Свод '!FV150+'Свод '!FX150+'Свод '!FZ150+'Свод '!GB150+'Свод '!GD150+'Свод '!GF150+'Свод '!GH150+'Свод '!HF150+'Свод '!HH150+'Свод '!HJ150+'Свод '!HL150+'Свод '!HN150+'Свод '!HR150+Лист1!B150+Лист1!D150+Лист1!F150+Лист1!H150+Лист1!J150+Лист1!L150+Лист1!N150+Лист1!P150+'Свод '!DL150</f>
        <v>19815.83</v>
      </c>
      <c r="AK150" s="39">
        <f>'Свод '!AC150+'Свод '!AE150+'Свод '!AM150+'Свод '!AO150+'Свод '!AQ150+'Свод '!BE150+'Свод '!BG150+'Свод '!BI150+'Свод '!BK150+'Свод '!BM150+'Свод '!BO150+'Свод '!BQ150+'Свод '!BS150+'Свод '!BU150+'Свод '!BW150+'Свод '!BY150+'Свод '!CA150+'Свод '!CI150+'Свод '!CK150+'Свод '!CM150+'Свод '!CO150+'Свод '!CQ150+'Свод '!CS150+'Свод '!CU150+'Свод '!CW150+'Свод '!CY150+'Свод '!DA150+'Свод '!DC150+'Свод '!DI150+'Свод '!DO150+'Свод '!DS150+'Свод '!DU150+'Свод '!DW150+'Свод '!DY150+'Свод '!EA150+'Свод '!EC150+'Свод '!EE150+'Свод '!EG150+'Свод '!EI150+'Свод '!EK150+'Свод '!EM150+'Свод '!FK150+'Свод '!FM150+'Свод '!FO150+'Свод '!FQ150+'Свод '!FS150+'Свод '!FU150+'Свод '!FW150+'Свод '!FY150+'Свод '!GA150+'Свод '!GC150+'Свод '!GE150+'Свод '!GG150+'Свод '!GI150+'Свод '!HG150+'Свод '!HI150+'Свод '!HK150+'Свод '!HM150+'Свод '!HO150+'Свод '!HS150+Лист1!C150+Лист1!E150+Лист1!G150+Лист1!I150+Лист1!K150+Лист1!M150+Лист1!O150+Лист1!Q150+'Свод '!DM150</f>
        <v>12877.695</v>
      </c>
      <c r="AL150" s="144">
        <f>'Свод '!AF150+'Свод '!AJ150+'Свод '!BB150+'Свод '!CB150+'Свод '!CD150+'Свод '!EN150+'Свод '!FD150+'Свод '!FF150+'Свод '!GJ150+'Свод '!GL150+'Свод '!GN150+'Свод '!GP150+'Свод '!GR150+'Свод '!GT150+'Свод '!GV150+'Свод '!GX150+'Свод '!HT150+'Свод '!HV150</f>
        <v>147</v>
      </c>
      <c r="AM150" s="42">
        <f>'Свод '!AG150+'Свод '!AK150+'Свод '!BC150+'Свод '!CC150+'Свод '!CE150+'Свод '!EO150+'Свод '!FE150+'Свод '!FG150+'Свод '!GK150+'Свод '!GM150+'Свод '!GO150+'Свод '!GQ150+'Свод '!GS150+'Свод '!GU150+'Свод '!GW150+'Свод '!GY150+'Свод '!HU150+'Свод '!HW150</f>
        <v>147</v>
      </c>
      <c r="AN150" s="42">
        <f>'Свод '!J150+'Свод '!L150+'Свод '!N150+'Свод '!P150+'Свод '!R150+'Свод '!T150+'Свод '!V150+'Свод '!X150+'Свод '!Z150+'Свод '!AR150+'Свод '!AT150+'Свод '!AV150+'Свод '!AX150+'Свод '!DD150+'Свод '!EP150+'Свод '!ER150+'Свод '!ET150+'Свод '!EV150+'Свод '!EX150+'Свод '!EZ150+'Свод '!GZ150+'Свод '!HB150+T150+V150+Z150+AB150</f>
        <v>3.74618</v>
      </c>
      <c r="AO150" s="42">
        <f>'Свод '!K150+'Свод '!M150+'Свод '!O150+'Свод '!Q150+'Свод '!S150+'Свод '!U150+'Свод '!W150+'Свод '!Y150+'Свод '!AA150+'Свод '!AS150+'Свод '!AU150+'Свод '!AW150+'Свод '!AY150+'Свод '!DE150+'Свод '!EQ150+'Свод '!ES150+'Свод '!EU150+'Свод '!EW150+'Свод '!EY150+'Свод '!FA150+'Свод '!HA150+'Свод '!HC150+U150+W150+AA150+AC150</f>
        <v>3.74618</v>
      </c>
    </row>
    <row r="151" spans="1:41" ht="12.75">
      <c r="A151" s="108" t="s">
        <v>119</v>
      </c>
      <c r="B151" s="104">
        <v>14248</v>
      </c>
      <c r="C151" s="42">
        <v>11445.742</v>
      </c>
      <c r="D151" s="40">
        <f>SUM(D152:D156)</f>
        <v>0</v>
      </c>
      <c r="E151" s="40">
        <f>SUM(E152:E156)</f>
        <v>0</v>
      </c>
      <c r="F151" s="43">
        <v>59</v>
      </c>
      <c r="G151" s="46">
        <v>54.29934</v>
      </c>
      <c r="H151" s="40">
        <f>SUM(H152:H156)</f>
        <v>0</v>
      </c>
      <c r="I151" s="40">
        <f>SUM(I152:I156)</f>
        <v>0</v>
      </c>
      <c r="J151" s="104">
        <v>3153</v>
      </c>
      <c r="K151" s="42">
        <v>3153</v>
      </c>
      <c r="L151" s="118">
        <v>0</v>
      </c>
      <c r="M151" s="118">
        <v>0</v>
      </c>
      <c r="N151" s="118">
        <f>SUM(N152:N156)</f>
        <v>0</v>
      </c>
      <c r="O151" s="118">
        <f>SUM(O152:O156)</f>
        <v>0</v>
      </c>
      <c r="P151" s="118">
        <f>SUM(P152:P156)</f>
        <v>0</v>
      </c>
      <c r="Q151" s="118">
        <f>SUM(Q152:Q156)</f>
        <v>0</v>
      </c>
      <c r="R151" s="42">
        <f t="shared" si="16"/>
        <v>17460</v>
      </c>
      <c r="S151" s="42">
        <f t="shared" si="17"/>
        <v>14653.04134</v>
      </c>
      <c r="T151" s="42">
        <v>0</v>
      </c>
      <c r="U151" s="42">
        <v>0</v>
      </c>
      <c r="V151" s="40">
        <v>0</v>
      </c>
      <c r="W151" s="40">
        <v>0</v>
      </c>
      <c r="X151" s="42">
        <f t="shared" si="18"/>
        <v>0</v>
      </c>
      <c r="Y151" s="42">
        <f t="shared" si="19"/>
        <v>0</v>
      </c>
      <c r="Z151" s="42">
        <v>0</v>
      </c>
      <c r="AA151" s="42">
        <v>0</v>
      </c>
      <c r="AB151" s="40">
        <v>0</v>
      </c>
      <c r="AC151" s="40">
        <v>0</v>
      </c>
      <c r="AD151" s="42">
        <f t="shared" si="20"/>
        <v>0</v>
      </c>
      <c r="AE151" s="42">
        <f t="shared" si="21"/>
        <v>0</v>
      </c>
      <c r="AF151" s="42">
        <f>'Свод '!AH151+'Свод '!AZ151+'Свод '!BB151+'Свод '!CF151+'Свод '!DF151+'Свод '!DJ151+'Свод '!DP151+'Свод '!FB151+'Свод '!FH151+'Свод '!HD151+'Свод '!HP151+'Свод '!HX151+Лист1!R151+Лист1!AD151+X151</f>
        <v>392360.60300999996</v>
      </c>
      <c r="AG151" s="42">
        <f>'Свод '!AI151+'Свод '!BA151+'Свод '!BC151+'Свод '!CG151+'Свод '!DG151+'Свод '!DK151+'Свод '!DQ151+'Свод '!FC151+'Свод '!FI151+'Свод '!HE151+'Свод '!HQ151+'Свод '!HY151+Лист1!S151+Лист1!AE151+Y151</f>
        <v>384279.61436</v>
      </c>
      <c r="AH151" s="42">
        <f>'Свод '!B151+'Свод '!D151+'Свод '!F151+'Свод '!H151</f>
        <v>90791</v>
      </c>
      <c r="AI151" s="42">
        <f>'Свод '!C151+'Свод '!E151+'Свод '!G151+'Свод '!I151</f>
        <v>90791</v>
      </c>
      <c r="AJ151" s="39">
        <f>'Свод '!AB151+'Свод '!AD151+'Свод '!AL151+'Свод '!AN151+'Свод '!AP151+'Свод '!BD151+'Свод '!BF151+'Свод '!BH151+'Свод '!BJ151+'Свод '!BL151+'Свод '!BN151+'Свод '!BP151+'Свод '!BR151+'Свод '!BT151+'Свод '!BV151+'Свод '!BX151+'Свод '!BZ151+'Свод '!CH151+'Свод '!CJ151+'Свод '!CL151+'Свод '!CN151+'Свод '!CP151+'Свод '!CR151+'Свод '!CT151+'Свод '!CV151+'Свод '!CX151+'Свод '!CZ151+'Свод '!DB151+'Свод '!DH151+'Свод '!DN151+'Свод '!DR151+'Свод '!DT151+'Свод '!DV151+'Свод '!DX151+'Свод '!DZ151+'Свод '!EB151+'Свод '!ED151+'Свод '!EF151+'Свод '!EH151+'Свод '!EJ151+'Свод '!EL151+'Свод '!FJ151+'Свод '!FL151+'Свод '!FN151+'Свод '!FP151+'Свод '!FR151+'Свод '!FT151+'Свод '!FV151+'Свод '!FX151+'Свод '!FZ151+'Свод '!GB151+'Свод '!GD151+'Свод '!GF151+'Свод '!GH151+'Свод '!HF151+'Свод '!HH151+'Свод '!HJ151+'Свод '!HL151+'Свод '!HN151+'Свод '!HR151+Лист1!B151+Лист1!D151+Лист1!F151+Лист1!H151+Лист1!J151+Лист1!L151+Лист1!N151+Лист1!P151+'Свод '!DL151</f>
        <v>68969.14206000001</v>
      </c>
      <c r="AK151" s="39">
        <f>'Свод '!AC151+'Свод '!AE151+'Свод '!AM151+'Свод '!AO151+'Свод '!AQ151+'Свод '!BE151+'Свод '!BG151+'Свод '!BI151+'Свод '!BK151+'Свод '!BM151+'Свод '!BO151+'Свод '!BQ151+'Свод '!BS151+'Свод '!BU151+'Свод '!BW151+'Свод '!BY151+'Свод '!CA151+'Свод '!CI151+'Свод '!CK151+'Свод '!CM151+'Свод '!CO151+'Свод '!CQ151+'Свод '!CS151+'Свод '!CU151+'Свод '!CW151+'Свод '!CY151+'Свод '!DA151+'Свод '!DC151+'Свод '!DI151+'Свод '!DO151+'Свод '!DS151+'Свод '!DU151+'Свод '!DW151+'Свод '!DY151+'Свод '!EA151+'Свод '!EC151+'Свод '!EE151+'Свод '!EG151+'Свод '!EI151+'Свод '!EK151+'Свод '!EM151+'Свод '!FK151+'Свод '!FM151+'Свод '!FO151+'Свод '!FQ151+'Свод '!FS151+'Свод '!FU151+'Свод '!FW151+'Свод '!FY151+'Свод '!GA151+'Свод '!GC151+'Свод '!GE151+'Свод '!GG151+'Свод '!GI151+'Свод '!HG151+'Свод '!HI151+'Свод '!HK151+'Свод '!HM151+'Свод '!HO151+'Свод '!HS151+Лист1!C151+Лист1!E151+Лист1!G151+Лист1!I151+Лист1!K151+Лист1!M151+Лист1!O151+Лист1!Q151+'Свод '!DM151</f>
        <v>60888.15341</v>
      </c>
      <c r="AL151" s="144">
        <f>'Свод '!AF151+'Свод '!AJ151+'Свод '!BB151+'Свод '!CB151+'Свод '!CD151+'Свод '!EN151+'Свод '!FD151+'Свод '!FF151+'Свод '!GJ151+'Свод '!GL151+'Свод '!GN151+'Свод '!GP151+'Свод '!GR151+'Свод '!GT151+'Свод '!GV151+'Свод '!GX151+'Свод '!HT151+'Свод '!HV151</f>
        <v>217733.33</v>
      </c>
      <c r="AM151" s="42">
        <f>'Свод '!AG151+'Свод '!AK151+'Свод '!BC151+'Свод '!CC151+'Свод '!CE151+'Свод '!EO151+'Свод '!FE151+'Свод '!FG151+'Свод '!GK151+'Свод '!GM151+'Свод '!GO151+'Свод '!GQ151+'Свод '!GS151+'Свод '!GU151+'Свод '!GW151+'Свод '!GY151+'Свод '!HU151+'Свод '!HW151</f>
        <v>217733.33</v>
      </c>
      <c r="AN151" s="42">
        <f>'Свод '!J151+'Свод '!L151+'Свод '!N151+'Свод '!P151+'Свод '!R151+'Свод '!T151+'Свод '!V151+'Свод '!X151+'Свод '!Z151+'Свод '!AR151+'Свод '!AT151+'Свод '!AV151+'Свод '!AX151+'Свод '!DD151+'Свод '!EP151+'Свод '!ER151+'Свод '!ET151+'Свод '!EV151+'Свод '!EX151+'Свод '!EZ151+'Свод '!GZ151+'Свод '!HB151+T151+V151+Z151+AB151</f>
        <v>14867.130949999997</v>
      </c>
      <c r="AO151" s="42">
        <f>'Свод '!K151+'Свод '!M151+'Свод '!O151+'Свод '!Q151+'Свод '!S151+'Свод '!U151+'Свод '!W151+'Свод '!Y151+'Свод '!AA151+'Свод '!AS151+'Свод '!AU151+'Свод '!AW151+'Свод '!AY151+'Свод '!DE151+'Свод '!EQ151+'Свод '!ES151+'Свод '!EU151+'Свод '!EW151+'Свод '!EY151+'Свод '!FA151+'Свод '!HA151+'Свод '!HC151+U151+W151+AA151+AC151</f>
        <v>14867.130949999997</v>
      </c>
    </row>
    <row r="152" spans="1:41" ht="12.75" customHeight="1">
      <c r="A152" s="103" t="s">
        <v>156</v>
      </c>
      <c r="B152" s="104">
        <v>14248</v>
      </c>
      <c r="C152" s="42">
        <v>11445.742</v>
      </c>
      <c r="D152" s="40"/>
      <c r="E152" s="40"/>
      <c r="F152" s="43">
        <v>18</v>
      </c>
      <c r="G152" s="42">
        <v>13.29934</v>
      </c>
      <c r="H152" s="40"/>
      <c r="I152" s="40"/>
      <c r="J152" s="105"/>
      <c r="K152" s="42"/>
      <c r="L152" s="40"/>
      <c r="M152" s="40"/>
      <c r="N152" s="40"/>
      <c r="O152" s="40"/>
      <c r="P152" s="40"/>
      <c r="Q152" s="40"/>
      <c r="R152" s="42">
        <f t="shared" si="16"/>
        <v>14266</v>
      </c>
      <c r="S152" s="42">
        <f t="shared" si="17"/>
        <v>11459.04134</v>
      </c>
      <c r="T152" s="42"/>
      <c r="U152" s="42"/>
      <c r="V152" s="40"/>
      <c r="W152" s="40"/>
      <c r="X152" s="42">
        <f t="shared" si="18"/>
        <v>0</v>
      </c>
      <c r="Y152" s="42">
        <f t="shared" si="19"/>
        <v>0</v>
      </c>
      <c r="Z152" s="42"/>
      <c r="AA152" s="42"/>
      <c r="AB152" s="40"/>
      <c r="AC152" s="40"/>
      <c r="AD152" s="42">
        <f t="shared" si="20"/>
        <v>0</v>
      </c>
      <c r="AE152" s="42">
        <f t="shared" si="21"/>
        <v>0</v>
      </c>
      <c r="AF152" s="42">
        <f>'Свод '!AH152+'Свод '!AZ152+'Свод '!BB152+'Свод '!CF152+'Свод '!DF152+'Свод '!DJ152+'Свод '!DP152+'Свод '!FB152+'Свод '!FH152+'Свод '!HD152+'Свод '!HP152+'Свод '!HX152+Лист1!R152+Лист1!AD152+X152</f>
        <v>343580.14499999996</v>
      </c>
      <c r="AG152" s="42">
        <f>'Свод '!AI152+'Свод '!BA152+'Свод '!BC152+'Свод '!CG152+'Свод '!DG152+'Свод '!DK152+'Свод '!DQ152+'Свод '!FC152+'Свод '!FI152+'Свод '!HE152+'Свод '!HQ152+'Свод '!HY152+Лист1!S152+Лист1!AE152+Y152</f>
        <v>335718.17834</v>
      </c>
      <c r="AH152" s="42">
        <f>'Свод '!B152+'Свод '!D152+'Свод '!F152+'Свод '!H152</f>
        <v>70149</v>
      </c>
      <c r="AI152" s="42">
        <f>'Свод '!C152+'Свод '!E152+'Свод '!G152+'Свод '!I152</f>
        <v>70149</v>
      </c>
      <c r="AJ152" s="39">
        <f>'Свод '!AB152+'Свод '!AD152+'Свод '!AL152+'Свод '!AN152+'Свод '!AP152+'Свод '!BD152+'Свод '!BF152+'Свод '!BH152+'Свод '!BJ152+'Свод '!BL152+'Свод '!BN152+'Свод '!BP152+'Свод '!BR152+'Свод '!BT152+'Свод '!BV152+'Свод '!BX152+'Свод '!BZ152+'Свод '!CH152+'Свод '!CJ152+'Свод '!CL152+'Свод '!CN152+'Свод '!CP152+'Свод '!CR152+'Свод '!CT152+'Свод '!CV152+'Свод '!CX152+'Свод '!CZ152+'Свод '!DB152+'Свод '!DH152+'Свод '!DN152+'Свод '!DR152+'Свод '!DT152+'Свод '!DV152+'Свод '!DX152+'Свод '!DZ152+'Свод '!EB152+'Свод '!ED152+'Свод '!EF152+'Свод '!EH152+'Свод '!EJ152+'Свод '!EL152+'Свод '!FJ152+'Свод '!FL152+'Свод '!FN152+'Свод '!FP152+'Свод '!FR152+'Свод '!FT152+'Свод '!FV152+'Свод '!FX152+'Свод '!FZ152+'Свод '!GB152+'Свод '!GD152+'Свод '!GF152+'Свод '!GH152+'Свод '!HF152+'Свод '!HH152+'Свод '!HJ152+'Свод '!HL152+'Свод '!HN152+'Свод '!HR152+Лист1!B152+Лист1!D152+Лист1!F152+Лист1!H152+Лист1!J152+Лист1!L152+Лист1!N152+Лист1!P152+'Свод '!DL152</f>
        <v>55746.578</v>
      </c>
      <c r="AK152" s="39">
        <f>'Свод '!AC152+'Свод '!AE152+'Свод '!AM152+'Свод '!AO152+'Свод '!AQ152+'Свод '!BE152+'Свод '!BG152+'Свод '!BI152+'Свод '!BK152+'Свод '!BM152+'Свод '!BO152+'Свод '!BQ152+'Свод '!BS152+'Свод '!BU152+'Свод '!BW152+'Свод '!BY152+'Свод '!CA152+'Свод '!CI152+'Свод '!CK152+'Свод '!CM152+'Свод '!CO152+'Свод '!CQ152+'Свод '!CS152+'Свод '!CU152+'Свод '!CW152+'Свод '!CY152+'Свод '!DA152+'Свод '!DC152+'Свод '!DI152+'Свод '!DO152+'Свод '!DS152+'Свод '!DU152+'Свод '!DW152+'Свод '!DY152+'Свод '!EA152+'Свод '!EC152+'Свод '!EE152+'Свод '!EG152+'Свод '!EI152+'Свод '!EK152+'Свод '!EM152+'Свод '!FK152+'Свод '!FM152+'Свод '!FO152+'Свод '!FQ152+'Свод '!FS152+'Свод '!FU152+'Свод '!FW152+'Свод '!FY152+'Свод '!GA152+'Свод '!GC152+'Свод '!GE152+'Свод '!GG152+'Свод '!GI152+'Свод '!HG152+'Свод '!HI152+'Свод '!HK152+'Свод '!HM152+'Свод '!HO152+'Свод '!HS152+Лист1!C152+Лист1!E152+Лист1!G152+Лист1!I152+Лист1!K152+Лист1!M152+Лист1!O152+Лист1!Q152+'Свод '!DM152</f>
        <v>47884.611339999996</v>
      </c>
      <c r="AL152" s="144">
        <f>'Свод '!AF152+'Свод '!AJ152+'Свод '!BB152+'Свод '!CB152+'Свод '!CD152+'Свод '!EN152+'Свод '!FD152+'Свод '!FF152+'Свод '!GJ152+'Свод '!GL152+'Свод '!GN152+'Свод '!GP152+'Свод '!GR152+'Свод '!GT152+'Свод '!GV152+'Свод '!GX152+'Свод '!HT152+'Свод '!HV152</f>
        <v>217149.33</v>
      </c>
      <c r="AM152" s="42">
        <f>'Свод '!AG152+'Свод '!AK152+'Свод '!BC152+'Свод '!CC152+'Свод '!CE152+'Свод '!EO152+'Свод '!FE152+'Свод '!FG152+'Свод '!GK152+'Свод '!GM152+'Свод '!GO152+'Свод '!GQ152+'Свод '!GS152+'Свод '!GU152+'Свод '!GW152+'Свод '!GY152+'Свод '!HU152+'Свод '!HW152</f>
        <v>217149.33</v>
      </c>
      <c r="AN152" s="42">
        <f>'Свод '!J152+'Свод '!L152+'Свод '!N152+'Свод '!P152+'Свод '!R152+'Свод '!T152+'Свод '!V152+'Свод '!X152+'Свод '!Z152+'Свод '!AR152+'Свод '!AT152+'Свод '!AV152+'Свод '!AX152+'Свод '!DD152+'Свод '!EP152+'Свод '!ER152+'Свод '!ET152+'Свод '!EV152+'Свод '!EX152+'Свод '!EZ152+'Свод '!GZ152+'Свод '!HB152+T152+V152+Z152+AB152</f>
        <v>535.2370000000001</v>
      </c>
      <c r="AO152" s="42">
        <f>'Свод '!K152+'Свод '!M152+'Свод '!O152+'Свод '!Q152+'Свод '!S152+'Свод '!U152+'Свод '!W152+'Свод '!Y152+'Свод '!AA152+'Свод '!AS152+'Свод '!AU152+'Свод '!AW152+'Свод '!AY152+'Свод '!DE152+'Свод '!EQ152+'Свод '!ES152+'Свод '!EU152+'Свод '!EW152+'Свод '!EY152+'Свод '!FA152+'Свод '!HA152+'Свод '!HC152+U152+W152+AA152+AC152</f>
        <v>535.2370000000001</v>
      </c>
    </row>
    <row r="153" spans="1:41" ht="12.75">
      <c r="A153" s="109" t="s">
        <v>221</v>
      </c>
      <c r="B153" s="104"/>
      <c r="C153" s="42"/>
      <c r="D153" s="40"/>
      <c r="E153" s="40"/>
      <c r="F153" s="43">
        <v>41</v>
      </c>
      <c r="G153" s="42">
        <v>41</v>
      </c>
      <c r="H153" s="40"/>
      <c r="I153" s="40"/>
      <c r="J153" s="110"/>
      <c r="K153" s="42"/>
      <c r="L153" s="40"/>
      <c r="M153" s="40"/>
      <c r="N153" s="40"/>
      <c r="O153" s="40"/>
      <c r="P153" s="40"/>
      <c r="Q153" s="40"/>
      <c r="R153" s="42">
        <f t="shared" si="16"/>
        <v>41</v>
      </c>
      <c r="S153" s="42">
        <f t="shared" si="17"/>
        <v>41</v>
      </c>
      <c r="T153" s="42"/>
      <c r="U153" s="42"/>
      <c r="V153" s="40"/>
      <c r="W153" s="40"/>
      <c r="X153" s="42">
        <f t="shared" si="18"/>
        <v>0</v>
      </c>
      <c r="Y153" s="42">
        <f t="shared" si="19"/>
        <v>0</v>
      </c>
      <c r="Z153" s="42"/>
      <c r="AA153" s="42"/>
      <c r="AB153" s="40"/>
      <c r="AC153" s="40"/>
      <c r="AD153" s="42">
        <f t="shared" si="20"/>
        <v>0</v>
      </c>
      <c r="AE153" s="42">
        <f t="shared" si="21"/>
        <v>0</v>
      </c>
      <c r="AF153" s="42">
        <f>'Свод '!AH153+'Свод '!AZ153+'Свод '!BB153+'Свод '!CF153+'Свод '!DF153+'Свод '!DJ153+'Свод '!DP153+'Свод '!FB153+'Свод '!FH153+'Свод '!HD153+'Свод '!HP153+'Свод '!HX153+Лист1!R153+Лист1!AD153+X153</f>
        <v>18510.947399999997</v>
      </c>
      <c r="AG153" s="42">
        <f>'Свод '!AI153+'Свод '!BA153+'Свод '!BC153+'Свод '!CG153+'Свод '!DG153+'Свод '!DK153+'Свод '!DQ153+'Свод '!FC153+'Свод '!FI153+'Свод '!HE153+'Свод '!HQ153+'Свод '!HY153+Лист1!S153+Лист1!AE153+Y153</f>
        <v>18455.02541</v>
      </c>
      <c r="AH153" s="42">
        <f>'Свод '!B153+'Свод '!D153+'Свод '!F153+'Свод '!H153</f>
        <v>3187.0000000000005</v>
      </c>
      <c r="AI153" s="42">
        <f>'Свод '!C153+'Свод '!E153+'Свод '!G153+'Свод '!I153</f>
        <v>3187.0000000000005</v>
      </c>
      <c r="AJ153" s="39">
        <f>'Свод '!AB153+'Свод '!AD153+'Свод '!AL153+'Свод '!AN153+'Свод '!AP153+'Свод '!BD153+'Свод '!BF153+'Свод '!BH153+'Свод '!BJ153+'Свод '!BL153+'Свод '!BN153+'Свод '!BP153+'Свод '!BR153+'Свод '!BT153+'Свод '!BV153+'Свод '!BX153+'Свод '!BZ153+'Свод '!CH153+'Свод '!CJ153+'Свод '!CL153+'Свод '!CN153+'Свод '!CP153+'Свод '!CR153+'Свод '!CT153+'Свод '!CV153+'Свод '!CX153+'Свод '!CZ153+'Свод '!DB153+'Свод '!DH153+'Свод '!DN153+'Свод '!DR153+'Свод '!DT153+'Свод '!DV153+'Свод '!DX153+'Свод '!DZ153+'Свод '!EB153+'Свод '!ED153+'Свод '!EF153+'Свод '!EH153+'Свод '!EJ153+'Свод '!EL153+'Свод '!FJ153+'Свод '!FL153+'Свод '!FN153+'Свод '!FP153+'Свод '!FR153+'Свод '!FT153+'Свод '!FV153+'Свод '!FX153+'Свод '!FZ153+'Свод '!GB153+'Свод '!GD153+'Свод '!GF153+'Свод '!GH153+'Свод '!HF153+'Свод '!HH153+'Свод '!HJ153+'Свод '!HL153+'Свод '!HN153+'Свод '!HR153+Лист1!B153+Лист1!D153+Лист1!F153+Лист1!H153+Лист1!J153+Лист1!L153+Лист1!N153+Лист1!P153+'Свод '!DL153</f>
        <v>4593.36406</v>
      </c>
      <c r="AK153" s="39">
        <f>'Свод '!AC153+'Свод '!AE153+'Свод '!AM153+'Свод '!AO153+'Свод '!AQ153+'Свод '!BE153+'Свод '!BG153+'Свод '!BI153+'Свод '!BK153+'Свод '!BM153+'Свод '!BO153+'Свод '!BQ153+'Свод '!BS153+'Свод '!BU153+'Свод '!BW153+'Свод '!BY153+'Свод '!CA153+'Свод '!CI153+'Свод '!CK153+'Свод '!CM153+'Свод '!CO153+'Свод '!CQ153+'Свод '!CS153+'Свод '!CU153+'Свод '!CW153+'Свод '!CY153+'Свод '!DA153+'Свод '!DC153+'Свод '!DI153+'Свод '!DO153+'Свод '!DS153+'Свод '!DU153+'Свод '!DW153+'Свод '!DY153+'Свод '!EA153+'Свод '!EC153+'Свод '!EE153+'Свод '!EG153+'Свод '!EI153+'Свод '!EK153+'Свод '!EM153+'Свод '!FK153+'Свод '!FM153+'Свод '!FO153+'Свод '!FQ153+'Свод '!FS153+'Свод '!FU153+'Свод '!FW153+'Свод '!FY153+'Свод '!GA153+'Свод '!GC153+'Свод '!GE153+'Свод '!GG153+'Свод '!GI153+'Свод '!HG153+'Свод '!HI153+'Свод '!HK153+'Свод '!HM153+'Свод '!HO153+'Свод '!HS153+Лист1!C153+Лист1!E153+Лист1!G153+Лист1!I153+Лист1!K153+Лист1!M153+Лист1!O153+Лист1!Q153+'Свод '!DM153</f>
        <v>4537.44207</v>
      </c>
      <c r="AL153" s="144">
        <f>'Свод '!AF153+'Свод '!AJ153+'Свод '!BB153+'Свод '!CB153+'Свод '!CD153+'Свод '!EN153+'Свод '!FD153+'Свод '!FF153+'Свод '!GJ153+'Свод '!GL153+'Свод '!GN153+'Свод '!GP153+'Свод '!GR153+'Свод '!GT153+'Свод '!GV153+'Свод '!GX153+'Свод '!HT153+'Свод '!HV153</f>
        <v>0</v>
      </c>
      <c r="AM153" s="42">
        <f>'Свод '!AG153+'Свод '!AK153+'Свод '!BC153+'Свод '!CC153+'Свод '!CE153+'Свод '!EO153+'Свод '!FE153+'Свод '!FG153+'Свод '!GK153+'Свод '!GM153+'Свод '!GO153+'Свод '!GQ153+'Свод '!GS153+'Свод '!GU153+'Свод '!GW153+'Свод '!GY153+'Свод '!HU153+'Свод '!HW153</f>
        <v>0</v>
      </c>
      <c r="AN153" s="42">
        <f>'Свод '!J153+'Свод '!L153+'Свод '!N153+'Свод '!P153+'Свод '!R153+'Свод '!T153+'Свод '!V153+'Свод '!X153+'Свод '!Z153+'Свод '!AR153+'Свод '!AT153+'Свод '!AV153+'Свод '!AX153+'Свод '!DD153+'Свод '!EP153+'Свод '!ER153+'Свод '!ET153+'Свод '!EV153+'Свод '!EX153+'Свод '!EZ153+'Свод '!GZ153+'Свод '!HB153+T153+V153+Z153+AB153</f>
        <v>10730.58334</v>
      </c>
      <c r="AO153" s="42">
        <f>'Свод '!K153+'Свод '!M153+'Свод '!O153+'Свод '!Q153+'Свод '!S153+'Свод '!U153+'Свод '!W153+'Свод '!Y153+'Свод '!AA153+'Свод '!AS153+'Свод '!AU153+'Свод '!AW153+'Свод '!AY153+'Свод '!DE153+'Свод '!EQ153+'Свод '!ES153+'Свод '!EU153+'Свод '!EW153+'Свод '!EY153+'Свод '!FA153+'Свод '!HA153+'Свод '!HC153+U153+W153+AA153+AC153</f>
        <v>10730.58334</v>
      </c>
    </row>
    <row r="154" spans="1:41" ht="12.75" customHeight="1">
      <c r="A154" s="109" t="s">
        <v>291</v>
      </c>
      <c r="B154" s="104"/>
      <c r="C154" s="42"/>
      <c r="D154" s="40"/>
      <c r="E154" s="40"/>
      <c r="F154" s="43"/>
      <c r="G154" s="46"/>
      <c r="H154" s="40"/>
      <c r="I154" s="40"/>
      <c r="J154" s="110"/>
      <c r="K154" s="42"/>
      <c r="L154" s="40"/>
      <c r="M154" s="40"/>
      <c r="N154" s="40"/>
      <c r="O154" s="40"/>
      <c r="P154" s="40"/>
      <c r="Q154" s="40"/>
      <c r="R154" s="42">
        <f t="shared" si="16"/>
        <v>0</v>
      </c>
      <c r="S154" s="42">
        <f t="shared" si="17"/>
        <v>0</v>
      </c>
      <c r="T154" s="42"/>
      <c r="U154" s="42"/>
      <c r="V154" s="40"/>
      <c r="W154" s="40"/>
      <c r="X154" s="42">
        <f t="shared" si="18"/>
        <v>0</v>
      </c>
      <c r="Y154" s="42">
        <f t="shared" si="19"/>
        <v>0</v>
      </c>
      <c r="Z154" s="42"/>
      <c r="AA154" s="42"/>
      <c r="AB154" s="40"/>
      <c r="AC154" s="40"/>
      <c r="AD154" s="42">
        <f t="shared" si="20"/>
        <v>0</v>
      </c>
      <c r="AE154" s="42">
        <f t="shared" si="21"/>
        <v>0</v>
      </c>
      <c r="AF154" s="42">
        <f>'Свод '!AH154+'Свод '!AZ154+'Свод '!BB154+'Свод '!CF154+'Свод '!DF154+'Свод '!DJ154+'Свод '!DP154+'Свод '!FB154+'Свод '!FH154+'Свод '!HD154+'Свод '!HP154+'Свод '!HX154+Лист1!R154+Лист1!AD154+X154</f>
        <v>10580.12344</v>
      </c>
      <c r="AG154" s="42">
        <f>'Свод '!AI154+'Свод '!BA154+'Свод '!BC154+'Свод '!CG154+'Свод '!DG154+'Свод '!DK154+'Свод '!DQ154+'Свод '!FC154+'Свод '!FI154+'Свод '!HE154+'Свод '!HQ154+'Свод '!HY154+Лист1!S154+Лист1!AE154+Y154</f>
        <v>10580.12344</v>
      </c>
      <c r="AH154" s="42">
        <f>'Свод '!B154+'Свод '!D154+'Свод '!F154+'Свод '!H154</f>
        <v>9100</v>
      </c>
      <c r="AI154" s="42">
        <f>'Свод '!C154+'Свод '!E154+'Свод '!G154+'Свод '!I154</f>
        <v>9100</v>
      </c>
      <c r="AJ154" s="39">
        <f>'Свод '!AB154+'Свод '!AD154+'Свод '!AL154+'Свод '!AN154+'Свод '!AP154+'Свод '!BD154+'Свод '!BF154+'Свод '!BH154+'Свод '!BJ154+'Свод '!BL154+'Свод '!BN154+'Свод '!BP154+'Свод '!BR154+'Свод '!BT154+'Свод '!BV154+'Свод '!BX154+'Свод '!BZ154+'Свод '!CH154+'Свод '!CJ154+'Свод '!CL154+'Свод '!CN154+'Свод '!CP154+'Свод '!CR154+'Свод '!CT154+'Свод '!CV154+'Свод '!CX154+'Свод '!CZ154+'Свод '!DB154+'Свод '!DH154+'Свод '!DN154+'Свод '!DR154+'Свод '!DT154+'Свод '!DV154+'Свод '!DX154+'Свод '!DZ154+'Свод '!EB154+'Свод '!ED154+'Свод '!EF154+'Свод '!EH154+'Свод '!EJ154+'Свод '!EL154+'Свод '!FJ154+'Свод '!FL154+'Свод '!FN154+'Свод '!FP154+'Свод '!FR154+'Свод '!FT154+'Свод '!FV154+'Свод '!FX154+'Свод '!FZ154+'Свод '!GB154+'Свод '!GD154+'Свод '!GF154+'Свод '!GH154+'Свод '!HF154+'Свод '!HH154+'Свод '!HJ154+'Свод '!HL154+'Свод '!HN154+'Свод '!HR154+Лист1!B154+Лист1!D154+Лист1!F154+Лист1!H154+Лист1!J154+Лист1!L154+Лист1!N154+Лист1!P154+'Свод '!DL154</f>
        <v>1044.5</v>
      </c>
      <c r="AK154" s="39">
        <f>'Свод '!AC154+'Свод '!AE154+'Свод '!AM154+'Свод '!AO154+'Свод '!AQ154+'Свод '!BE154+'Свод '!BG154+'Свод '!BI154+'Свод '!BK154+'Свод '!BM154+'Свод '!BO154+'Свод '!BQ154+'Свод '!BS154+'Свод '!BU154+'Свод '!BW154+'Свод '!BY154+'Свод '!CA154+'Свод '!CI154+'Свод '!CK154+'Свод '!CM154+'Свод '!CO154+'Свод '!CQ154+'Свод '!CS154+'Свод '!CU154+'Свод '!CW154+'Свод '!CY154+'Свод '!DA154+'Свод '!DC154+'Свод '!DI154+'Свод '!DO154+'Свод '!DS154+'Свод '!DU154+'Свод '!DW154+'Свод '!DY154+'Свод '!EA154+'Свод '!EC154+'Свод '!EE154+'Свод '!EG154+'Свод '!EI154+'Свод '!EK154+'Свод '!EM154+'Свод '!FK154+'Свод '!FM154+'Свод '!FO154+'Свод '!FQ154+'Свод '!FS154+'Свод '!FU154+'Свод '!FW154+'Свод '!FY154+'Свод '!GA154+'Свод '!GC154+'Свод '!GE154+'Свод '!GG154+'Свод '!GI154+'Свод '!HG154+'Свод '!HI154+'Свод '!HK154+'Свод '!HM154+'Свод '!HO154+'Свод '!HS154+Лист1!C154+Лист1!E154+Лист1!G154+Лист1!I154+Лист1!K154+Лист1!M154+Лист1!O154+Лист1!Q154+'Свод '!DM154</f>
        <v>1044.5</v>
      </c>
      <c r="AL154" s="144">
        <f>'Свод '!AF154+'Свод '!AJ154+'Свод '!BB154+'Свод '!CB154+'Свод '!CD154+'Свод '!EN154+'Свод '!FD154+'Свод '!FF154+'Свод '!GJ154+'Свод '!GL154+'Свод '!GN154+'Свод '!GP154+'Свод '!GR154+'Свод '!GT154+'Свод '!GV154+'Свод '!GX154+'Свод '!HT154+'Свод '!HV154</f>
        <v>290</v>
      </c>
      <c r="AM154" s="42">
        <f>'Свод '!AG154+'Свод '!AK154+'Свод '!BC154+'Свод '!CC154+'Свод '!CE154+'Свод '!EO154+'Свод '!FE154+'Свод '!FG154+'Свод '!GK154+'Свод '!GM154+'Свод '!GO154+'Свод '!GQ154+'Свод '!GS154+'Свод '!GU154+'Свод '!GW154+'Свод '!GY154+'Свод '!HU154+'Свод '!HW154</f>
        <v>290</v>
      </c>
      <c r="AN154" s="42">
        <f>'Свод '!J154+'Свод '!L154+'Свод '!N154+'Свод '!P154+'Свод '!R154+'Свод '!T154+'Свод '!V154+'Свод '!X154+'Свод '!Z154+'Свод '!AR154+'Свод '!AT154+'Свод '!AV154+'Свод '!AX154+'Свод '!DD154+'Свод '!EP154+'Свод '!ER154+'Свод '!ET154+'Свод '!EV154+'Свод '!EX154+'Свод '!EZ154+'Свод '!GZ154+'Свод '!HB154+T154+V154+Z154+AB154</f>
        <v>145.62344000000002</v>
      </c>
      <c r="AO154" s="42">
        <f>'Свод '!K154+'Свод '!M154+'Свод '!O154+'Свод '!Q154+'Свод '!S154+'Свод '!U154+'Свод '!W154+'Свод '!Y154+'Свод '!AA154+'Свод '!AS154+'Свод '!AU154+'Свод '!AW154+'Свод '!AY154+'Свод '!DE154+'Свод '!EQ154+'Свод '!ES154+'Свод '!EU154+'Свод '!EW154+'Свод '!EY154+'Свод '!FA154+'Свод '!HA154+'Свод '!HC154+U154+W154+AA154+AC154</f>
        <v>145.62344000000002</v>
      </c>
    </row>
    <row r="155" spans="1:41" ht="12.75">
      <c r="A155" s="109" t="s">
        <v>292</v>
      </c>
      <c r="B155" s="104"/>
      <c r="C155" s="42"/>
      <c r="D155" s="40"/>
      <c r="E155" s="40"/>
      <c r="F155" s="43"/>
      <c r="G155" s="46"/>
      <c r="H155" s="40"/>
      <c r="I155" s="40"/>
      <c r="J155" s="104">
        <v>3153</v>
      </c>
      <c r="K155" s="42">
        <v>3153</v>
      </c>
      <c r="L155" s="40"/>
      <c r="M155" s="40"/>
      <c r="N155" s="40"/>
      <c r="O155" s="40"/>
      <c r="P155" s="40"/>
      <c r="Q155" s="40"/>
      <c r="R155" s="42">
        <f t="shared" si="16"/>
        <v>3153</v>
      </c>
      <c r="S155" s="42">
        <f t="shared" si="17"/>
        <v>3153</v>
      </c>
      <c r="T155" s="42"/>
      <c r="U155" s="42"/>
      <c r="V155" s="40"/>
      <c r="W155" s="40"/>
      <c r="X155" s="42">
        <f t="shared" si="18"/>
        <v>0</v>
      </c>
      <c r="Y155" s="42">
        <f t="shared" si="19"/>
        <v>0</v>
      </c>
      <c r="Z155" s="42"/>
      <c r="AA155" s="42"/>
      <c r="AB155" s="40"/>
      <c r="AC155" s="40"/>
      <c r="AD155" s="42">
        <f t="shared" si="20"/>
        <v>0</v>
      </c>
      <c r="AE155" s="42">
        <f t="shared" si="21"/>
        <v>0</v>
      </c>
      <c r="AF155" s="42">
        <f>'Свод '!AH155+'Свод '!AZ155+'Свод '!BB155+'Свод '!CF155+'Свод '!DF155+'Свод '!DJ155+'Свод '!DP155+'Свод '!FB155+'Свод '!FH155+'Свод '!HD155+'Свод '!HP155+'Свод '!HX155+Лист1!R155+Лист1!AD155+X155</f>
        <v>10238.87919</v>
      </c>
      <c r="AG155" s="42">
        <f>'Свод '!AI155+'Свод '!BA155+'Свод '!BC155+'Свод '!CG155+'Свод '!DG155+'Свод '!DK155+'Свод '!DQ155+'Свод '!FC155+'Свод '!FI155+'Свод '!HE155+'Свод '!HQ155+'Свод '!HY155+Лист1!S155+Лист1!AE155+Y155</f>
        <v>10238.87919</v>
      </c>
      <c r="AH155" s="42">
        <f>'Свод '!B155+'Свод '!D155+'Свод '!F155+'Свод '!H155</f>
        <v>4948</v>
      </c>
      <c r="AI155" s="42">
        <f>'Свод '!C155+'Свод '!E155+'Свод '!G155+'Свод '!I155</f>
        <v>4948</v>
      </c>
      <c r="AJ155" s="39">
        <f>'Свод '!AB155+'Свод '!AD155+'Свод '!AL155+'Свод '!AN155+'Свод '!AP155+'Свод '!BD155+'Свод '!BF155+'Свод '!BH155+'Свод '!BJ155+'Свод '!BL155+'Свод '!BN155+'Свод '!BP155+'Свод '!BR155+'Свод '!BT155+'Свод '!BV155+'Свод '!BX155+'Свод '!BZ155+'Свод '!CH155+'Свод '!CJ155+'Свод '!CL155+'Свод '!CN155+'Свод '!CP155+'Свод '!CR155+'Свод '!CT155+'Свод '!CV155+'Свод '!CX155+'Свод '!CZ155+'Свод '!DB155+'Свод '!DH155+'Свод '!DN155+'Свод '!DR155+'Свод '!DT155+'Свод '!DV155+'Свод '!DX155+'Свод '!DZ155+'Свод '!EB155+'Свод '!ED155+'Свод '!EF155+'Свод '!EH155+'Свод '!EJ155+'Свод '!EL155+'Свод '!FJ155+'Свод '!FL155+'Свод '!FN155+'Свод '!FP155+'Свод '!FR155+'Свод '!FT155+'Свод '!FV155+'Свод '!FX155+'Свод '!FZ155+'Свод '!GB155+'Свод '!GD155+'Свод '!GF155+'Свод '!GH155+'Свод '!HF155+'Свод '!HH155+'Свод '!HJ155+'Свод '!HL155+'Свод '!HN155+'Свод '!HR155+Лист1!B155+Лист1!D155+Лист1!F155+Лист1!H155+Лист1!J155+Лист1!L155+Лист1!N155+Лист1!P155+'Свод '!DL155</f>
        <v>3807.4</v>
      </c>
      <c r="AK155" s="39">
        <f>'Свод '!AC155+'Свод '!AE155+'Свод '!AM155+'Свод '!AO155+'Свод '!AQ155+'Свод '!BE155+'Свод '!BG155+'Свод '!BI155+'Свод '!BK155+'Свод '!BM155+'Свод '!BO155+'Свод '!BQ155+'Свод '!BS155+'Свод '!BU155+'Свод '!BW155+'Свод '!BY155+'Свод '!CA155+'Свод '!CI155+'Свод '!CK155+'Свод '!CM155+'Свод '!CO155+'Свод '!CQ155+'Свод '!CS155+'Свод '!CU155+'Свод '!CW155+'Свод '!CY155+'Свод '!DA155+'Свод '!DC155+'Свод '!DI155+'Свод '!DO155+'Свод '!DS155+'Свод '!DU155+'Свод '!DW155+'Свод '!DY155+'Свод '!EA155+'Свод '!EC155+'Свод '!EE155+'Свод '!EG155+'Свод '!EI155+'Свод '!EK155+'Свод '!EM155+'Свод '!FK155+'Свод '!FM155+'Свод '!FO155+'Свод '!FQ155+'Свод '!FS155+'Свод '!FU155+'Свод '!FW155+'Свод '!FY155+'Свод '!GA155+'Свод '!GC155+'Свод '!GE155+'Свод '!GG155+'Свод '!GI155+'Свод '!HG155+'Свод '!HI155+'Свод '!HK155+'Свод '!HM155+'Свод '!HO155+'Свод '!HS155+Лист1!C155+Лист1!E155+Лист1!G155+Лист1!I155+Лист1!K155+Лист1!M155+Лист1!O155+Лист1!Q155+'Свод '!DM155</f>
        <v>3807.4</v>
      </c>
      <c r="AL155" s="144">
        <f>'Свод '!AF155+'Свод '!AJ155+'Свод '!BB155+'Свод '!CB155+'Свод '!CD155+'Свод '!EN155+'Свод '!FD155+'Свод '!FF155+'Свод '!GJ155+'Свод '!GL155+'Свод '!GN155+'Свод '!GP155+'Свод '!GR155+'Свод '!GT155+'Свод '!GV155+'Свод '!GX155+'Свод '!HT155+'Свод '!HV155</f>
        <v>147</v>
      </c>
      <c r="AM155" s="42">
        <f>'Свод '!AG155+'Свод '!AK155+'Свод '!BC155+'Свод '!CC155+'Свод '!CE155+'Свод '!EO155+'Свод '!FE155+'Свод '!FG155+'Свод '!GK155+'Свод '!GM155+'Свод '!GO155+'Свод '!GQ155+'Свод '!GS155+'Свод '!GU155+'Свод '!GW155+'Свод '!GY155+'Свод '!HU155+'Свод '!HW155</f>
        <v>147</v>
      </c>
      <c r="AN155" s="42">
        <f>'Свод '!J155+'Свод '!L155+'Свод '!N155+'Свод '!P155+'Свод '!R155+'Свод '!T155+'Свод '!V155+'Свод '!X155+'Свод '!Z155+'Свод '!AR155+'Свод '!AT155+'Свод '!AV155+'Свод '!AX155+'Свод '!DD155+'Свод '!EP155+'Свод '!ER155+'Свод '!ET155+'Свод '!EV155+'Свод '!EX155+'Свод '!EZ155+'Свод '!GZ155+'Свод '!HB155+T155+V155+Z155+AB155</f>
        <v>1336.47919</v>
      </c>
      <c r="AO155" s="42">
        <f>'Свод '!K155+'Свод '!M155+'Свод '!O155+'Свод '!Q155+'Свод '!S155+'Свод '!U155+'Свод '!W155+'Свод '!Y155+'Свод '!AA155+'Свод '!AS155+'Свод '!AU155+'Свод '!AW155+'Свод '!AY155+'Свод '!DE155+'Свод '!EQ155+'Свод '!ES155+'Свод '!EU155+'Свод '!EW155+'Свод '!EY155+'Свод '!FA155+'Свод '!HA155+'Свод '!HC155+U155+W155+AA155+AC155</f>
        <v>1336.47919</v>
      </c>
    </row>
    <row r="156" spans="1:41" ht="12.75" customHeight="1">
      <c r="A156" s="148" t="s">
        <v>293</v>
      </c>
      <c r="B156" s="149"/>
      <c r="C156" s="150"/>
      <c r="D156" s="151"/>
      <c r="E156" s="151"/>
      <c r="F156" s="152"/>
      <c r="G156" s="153"/>
      <c r="H156" s="151"/>
      <c r="I156" s="151"/>
      <c r="J156" s="154"/>
      <c r="K156" s="150"/>
      <c r="L156" s="151"/>
      <c r="M156" s="151"/>
      <c r="N156" s="155"/>
      <c r="O156" s="155"/>
      <c r="P156" s="155"/>
      <c r="Q156" s="155"/>
      <c r="R156" s="150">
        <f t="shared" si="16"/>
        <v>0</v>
      </c>
      <c r="S156" s="150">
        <f t="shared" si="17"/>
        <v>0</v>
      </c>
      <c r="T156" s="150"/>
      <c r="U156" s="150"/>
      <c r="V156" s="151"/>
      <c r="W156" s="151"/>
      <c r="X156" s="150">
        <f t="shared" si="18"/>
        <v>0</v>
      </c>
      <c r="Y156" s="150">
        <f t="shared" si="19"/>
        <v>0</v>
      </c>
      <c r="Z156" s="150"/>
      <c r="AA156" s="150"/>
      <c r="AB156" s="151"/>
      <c r="AC156" s="151"/>
      <c r="AD156" s="150">
        <f t="shared" si="20"/>
        <v>0</v>
      </c>
      <c r="AE156" s="150">
        <f t="shared" si="21"/>
        <v>0</v>
      </c>
      <c r="AF156" s="150">
        <f>'Свод '!AH156+'Свод '!AZ156+'Свод '!BB156+'Свод '!CF156+'Свод '!DF156+'Свод '!DJ156+'Свод '!DP156+'Свод '!FB156+'Свод '!FH156+'Свод '!HD156+'Свод '!HP156+'Свод '!HX156+Лист1!R156+Лист1!AD156+X156</f>
        <v>9450.50798</v>
      </c>
      <c r="AG156" s="150">
        <f>'Свод '!AI156+'Свод '!BA156+'Свод '!BC156+'Свод '!CG156+'Свод '!DG156+'Свод '!DK156+'Свод '!DQ156+'Свод '!FC156+'Свод '!FI156+'Свод '!HE156+'Свод '!HQ156+'Свод '!HY156+Лист1!S156+Лист1!AE156+Y156</f>
        <v>9287.40798</v>
      </c>
      <c r="AH156" s="150">
        <f>'Свод '!B156+'Свод '!D156+'Свод '!F156+'Свод '!H156</f>
        <v>3407</v>
      </c>
      <c r="AI156" s="150">
        <f>'Свод '!C156+'Свод '!E156+'Свод '!G156+'Свод '!I156</f>
        <v>3407</v>
      </c>
      <c r="AJ156" s="52">
        <f>'Свод '!AB156+'Свод '!AD156+'Свод '!AL156+'Свод '!AN156+'Свод '!AP156+'Свод '!BD156+'Свод '!BF156+'Свод '!BH156+'Свод '!BJ156+'Свод '!BL156+'Свод '!BN156+'Свод '!BP156+'Свод '!BR156+'Свод '!BT156+'Свод '!BV156+'Свод '!BX156+'Свод '!BZ156+'Свод '!CH156+'Свод '!CJ156+'Свод '!CL156+'Свод '!CN156+'Свод '!CP156+'Свод '!CR156+'Свод '!CT156+'Свод '!CV156+'Свод '!CX156+'Свод '!CZ156+'Свод '!DB156+'Свод '!DH156+'Свод '!DN156+'Свод '!DR156+'Свод '!DT156+'Свод '!DV156+'Свод '!DX156+'Свод '!DZ156+'Свод '!EB156+'Свод '!ED156+'Свод '!EF156+'Свод '!EH156+'Свод '!EJ156+'Свод '!EL156+'Свод '!FJ156+'Свод '!FL156+'Свод '!FN156+'Свод '!FP156+'Свод '!FR156+'Свод '!FT156+'Свод '!FV156+'Свод '!FX156+'Свод '!FZ156+'Свод '!GB156+'Свод '!GD156+'Свод '!GF156+'Свод '!GH156+'Свод '!HF156+'Свод '!HH156+'Свод '!HJ156+'Свод '!HL156+'Свод '!HN156+'Свод '!HR156+Лист1!B156+Лист1!D156+Лист1!F156+Лист1!H156+Лист1!J156+Лист1!L156+Лист1!N156+Лист1!P156+'Свод '!DL156</f>
        <v>3777.2999999999997</v>
      </c>
      <c r="AK156" s="52">
        <f>'Свод '!AC156+'Свод '!AE156+'Свод '!AM156+'Свод '!AO156+'Свод '!AQ156+'Свод '!BE156+'Свод '!BG156+'Свод '!BI156+'Свод '!BK156+'Свод '!BM156+'Свод '!BO156+'Свод '!BQ156+'Свод '!BS156+'Свод '!BU156+'Свод '!BW156+'Свод '!BY156+'Свод '!CA156+'Свод '!CI156+'Свод '!CK156+'Свод '!CM156+'Свод '!CO156+'Свод '!CQ156+'Свод '!CS156+'Свод '!CU156+'Свод '!CW156+'Свод '!CY156+'Свод '!DA156+'Свод '!DC156+'Свод '!DI156+'Свод '!DO156+'Свод '!DS156+'Свод '!DU156+'Свод '!DW156+'Свод '!DY156+'Свод '!EA156+'Свод '!EC156+'Свод '!EE156+'Свод '!EG156+'Свод '!EI156+'Свод '!EK156+'Свод '!EM156+'Свод '!FK156+'Свод '!FM156+'Свод '!FO156+'Свод '!FQ156+'Свод '!FS156+'Свод '!FU156+'Свод '!FW156+'Свод '!FY156+'Свод '!GA156+'Свод '!GC156+'Свод '!GE156+'Свод '!GG156+'Свод '!GI156+'Свод '!HG156+'Свод '!HI156+'Свод '!HK156+'Свод '!HM156+'Свод '!HO156+'Свод '!HS156+Лист1!C156+Лист1!E156+Лист1!G156+Лист1!I156+Лист1!K156+Лист1!M156+Лист1!O156+Лист1!Q156+'Свод '!DM156</f>
        <v>3614.2</v>
      </c>
      <c r="AL156" s="156">
        <f>'Свод '!AF156+'Свод '!AJ156+'Свод '!BB156+'Свод '!CB156+'Свод '!CD156+'Свод '!EN156+'Свод '!FD156+'Свод '!FF156+'Свод '!GJ156+'Свод '!GL156+'Свод '!GN156+'Свод '!GP156+'Свод '!GR156+'Свод '!GT156+'Свод '!GV156+'Свод '!GX156+'Свод '!HT156+'Свод '!HV156</f>
        <v>147</v>
      </c>
      <c r="AM156" s="150">
        <f>'Свод '!AG156+'Свод '!AK156+'Свод '!BC156+'Свод '!CC156+'Свод '!CE156+'Свод '!EO156+'Свод '!FE156+'Свод '!FG156+'Свод '!GK156+'Свод '!GM156+'Свод '!GO156+'Свод '!GQ156+'Свод '!GS156+'Свод '!GU156+'Свод '!GW156+'Свод '!GY156+'Свод '!HU156+'Свод '!HW156</f>
        <v>147</v>
      </c>
      <c r="AN156" s="150">
        <f>'Свод '!J156+'Свод '!L156+'Свод '!N156+'Свод '!P156+'Свод '!R156+'Свод '!T156+'Свод '!V156+'Свод '!X156+'Свод '!Z156+'Свод '!AR156+'Свод '!AT156+'Свод '!AV156+'Свод '!AX156+'Свод '!DD156+'Свод '!EP156+'Свод '!ER156+'Свод '!ET156+'Свод '!EV156+'Свод '!EX156+'Свод '!EZ156+'Свод '!GZ156+'Свод '!HB156+T156+V156+Z156+AB156</f>
        <v>2119.20798</v>
      </c>
      <c r="AO156" s="150">
        <f>'Свод '!K156+'Свод '!M156+'Свод '!O156+'Свод '!Q156+'Свод '!S156+'Свод '!U156+'Свод '!W156+'Свод '!Y156+'Свод '!AA156+'Свод '!AS156+'Свод '!AU156+'Свод '!AW156+'Свод '!AY156+'Свод '!DE156+'Свод '!EQ156+'Свод '!ES156+'Свод '!EU156+'Свод '!EW156+'Свод '!EY156+'Свод '!FA156+'Свод '!HA156+'Свод '!HC156+U156+W156+AA156+AC156</f>
        <v>2119.20798</v>
      </c>
    </row>
    <row r="157" spans="1:41" ht="27" customHeight="1">
      <c r="A157" s="157" t="s">
        <v>118</v>
      </c>
      <c r="B157" s="158">
        <f aca="true" t="shared" si="22" ref="B157:AO157">SUM(B13:B17)+B19+B29+B38+B44+B60+B68+B75+B82+B90+B100+B104+B114+B121+B135+B144+B151</f>
        <v>208571.7</v>
      </c>
      <c r="C157" s="158">
        <f t="shared" si="22"/>
        <v>193405.08750999998</v>
      </c>
      <c r="D157" s="158">
        <f t="shared" si="22"/>
        <v>13880</v>
      </c>
      <c r="E157" s="158">
        <f t="shared" si="22"/>
        <v>13862.614</v>
      </c>
      <c r="F157" s="158">
        <f t="shared" si="22"/>
        <v>98639</v>
      </c>
      <c r="G157" s="158">
        <f t="shared" si="22"/>
        <v>97901.46397000004</v>
      </c>
      <c r="H157" s="158">
        <f t="shared" si="22"/>
        <v>300000</v>
      </c>
      <c r="I157" s="158">
        <f t="shared" si="22"/>
        <v>300000</v>
      </c>
      <c r="J157" s="158">
        <f t="shared" si="22"/>
        <v>67422.7</v>
      </c>
      <c r="K157" s="158">
        <f t="shared" si="22"/>
        <v>60219.351670000004</v>
      </c>
      <c r="L157" s="158">
        <f t="shared" si="22"/>
        <v>17646</v>
      </c>
      <c r="M157" s="158">
        <f t="shared" si="22"/>
        <v>17558.679</v>
      </c>
      <c r="N157" s="158">
        <f t="shared" si="22"/>
        <v>183200</v>
      </c>
      <c r="O157" s="158">
        <f t="shared" si="22"/>
        <v>183200</v>
      </c>
      <c r="P157" s="158">
        <f t="shared" si="22"/>
        <v>25740</v>
      </c>
      <c r="Q157" s="158">
        <f t="shared" si="22"/>
        <v>25740</v>
      </c>
      <c r="R157" s="56">
        <f t="shared" si="22"/>
        <v>915099.3999999999</v>
      </c>
      <c r="S157" s="56">
        <f t="shared" si="22"/>
        <v>891887.1961499999</v>
      </c>
      <c r="T157" s="158">
        <f t="shared" si="22"/>
        <v>3021.3</v>
      </c>
      <c r="U157" s="158">
        <f t="shared" si="22"/>
        <v>3021.3</v>
      </c>
      <c r="V157" s="158">
        <f t="shared" si="22"/>
        <v>158.7</v>
      </c>
      <c r="W157" s="158">
        <f t="shared" si="22"/>
        <v>158.7</v>
      </c>
      <c r="X157" s="158">
        <f t="shared" si="22"/>
        <v>3180</v>
      </c>
      <c r="Y157" s="158">
        <f t="shared" si="22"/>
        <v>3180</v>
      </c>
      <c r="Z157" s="158">
        <f t="shared" si="22"/>
        <v>8586.400000000001</v>
      </c>
      <c r="AA157" s="158">
        <f t="shared" si="22"/>
        <v>8586.400000000001</v>
      </c>
      <c r="AB157" s="158">
        <f t="shared" si="22"/>
        <v>3811.2</v>
      </c>
      <c r="AC157" s="56">
        <f t="shared" si="22"/>
        <v>3811.2</v>
      </c>
      <c r="AD157" s="56">
        <f t="shared" si="22"/>
        <v>12397.600000000002</v>
      </c>
      <c r="AE157" s="56">
        <f t="shared" si="22"/>
        <v>12397.600000000002</v>
      </c>
      <c r="AF157" s="56">
        <f t="shared" si="22"/>
        <v>15497506.363410003</v>
      </c>
      <c r="AG157" s="56">
        <f t="shared" si="22"/>
        <v>14998052.23497</v>
      </c>
      <c r="AH157" s="56">
        <f t="shared" si="22"/>
        <v>2763788</v>
      </c>
      <c r="AI157" s="56">
        <f t="shared" si="22"/>
        <v>2763788</v>
      </c>
      <c r="AJ157" s="56">
        <f t="shared" si="22"/>
        <v>4205993.9462399995</v>
      </c>
      <c r="AK157" s="56">
        <f t="shared" si="22"/>
        <v>3711869.43648</v>
      </c>
      <c r="AL157" s="56">
        <f t="shared" si="22"/>
        <v>7923098.743999999</v>
      </c>
      <c r="AM157" s="56">
        <f t="shared" si="22"/>
        <v>7921542.77577</v>
      </c>
      <c r="AN157" s="56">
        <f t="shared" si="22"/>
        <v>604625.67317</v>
      </c>
      <c r="AO157" s="56">
        <f t="shared" si="22"/>
        <v>600852.0227199999</v>
      </c>
    </row>
    <row r="158" spans="1:41" ht="12.75">
      <c r="A158" s="113"/>
      <c r="B158" s="113"/>
      <c r="C158" s="114"/>
      <c r="D158" s="115"/>
      <c r="E158" s="114"/>
      <c r="F158" s="115"/>
      <c r="G158" s="114"/>
      <c r="H158" s="115"/>
      <c r="I158" s="114"/>
      <c r="J158" s="115"/>
      <c r="K158" s="114"/>
      <c r="L158" s="115"/>
      <c r="M158" s="114"/>
      <c r="N158" s="115"/>
      <c r="O158" s="114"/>
      <c r="P158" s="115"/>
      <c r="Q158" s="114"/>
      <c r="R158" s="115"/>
      <c r="S158" s="114"/>
      <c r="T158" s="115"/>
      <c r="U158" s="114"/>
      <c r="V158" s="115"/>
      <c r="W158" s="114"/>
      <c r="X158" s="115"/>
      <c r="Y158" s="114"/>
      <c r="Z158" s="115"/>
      <c r="AA158" s="114"/>
      <c r="AB158" s="115"/>
      <c r="AC158" s="114"/>
      <c r="AD158" s="115"/>
      <c r="AE158" s="114"/>
      <c r="AF158" s="115"/>
      <c r="AG158" s="114"/>
      <c r="AH158" s="114"/>
      <c r="AI158" s="114"/>
      <c r="AJ158" s="114"/>
      <c r="AK158" s="114"/>
      <c r="AL158" s="114"/>
      <c r="AM158" s="114"/>
      <c r="AN158" s="114"/>
      <c r="AO158" s="114"/>
    </row>
    <row r="159" spans="1:40" ht="57.75" customHeight="1">
      <c r="A159" s="113"/>
      <c r="B159" s="113"/>
      <c r="C159" s="114"/>
      <c r="D159" s="115"/>
      <c r="E159" s="114"/>
      <c r="F159" s="115"/>
      <c r="G159" s="114"/>
      <c r="H159" s="115"/>
      <c r="I159" s="114"/>
      <c r="J159" s="115"/>
      <c r="K159" s="114"/>
      <c r="L159" s="115"/>
      <c r="M159" s="114"/>
      <c r="N159" s="115"/>
      <c r="O159" s="114"/>
      <c r="P159" s="115"/>
      <c r="Q159" s="114"/>
      <c r="R159" s="115"/>
      <c r="S159" s="114"/>
      <c r="T159" s="115"/>
      <c r="U159" s="114"/>
      <c r="V159" s="115"/>
      <c r="W159" s="114"/>
      <c r="X159" s="115"/>
      <c r="Y159" s="114"/>
      <c r="Z159" s="115"/>
      <c r="AA159" s="114"/>
      <c r="AB159" s="115"/>
      <c r="AC159" s="114"/>
      <c r="AD159" s="115"/>
      <c r="AE159" s="114"/>
      <c r="AF159" s="115"/>
      <c r="AG159" s="116"/>
      <c r="AH159" s="319" t="s">
        <v>0</v>
      </c>
      <c r="AI159" s="319"/>
      <c r="AJ159" s="319"/>
      <c r="AK159" s="319"/>
      <c r="AL159" s="116"/>
      <c r="AM159" s="114"/>
      <c r="AN159" s="114" t="s">
        <v>310</v>
      </c>
    </row>
    <row r="160" spans="3:41" ht="12.75">
      <c r="C160" s="2"/>
      <c r="E160" s="2"/>
      <c r="G160" s="2"/>
      <c r="I160" s="2"/>
      <c r="K160" s="2"/>
      <c r="M160" s="2"/>
      <c r="O160" s="2"/>
      <c r="Q160" s="2"/>
      <c r="S160" s="2"/>
      <c r="U160" s="2"/>
      <c r="W160" s="2"/>
      <c r="Y160" s="2"/>
      <c r="AA160" s="2"/>
      <c r="AC160" s="2"/>
      <c r="AE160" s="2"/>
      <c r="AG160" s="2"/>
      <c r="AH160" s="2"/>
      <c r="AI160" s="2"/>
      <c r="AJ160" s="2"/>
      <c r="AK160" s="2"/>
      <c r="AL160" s="2"/>
      <c r="AM160" s="2"/>
      <c r="AN160" s="2"/>
      <c r="AO160" s="2"/>
    </row>
    <row r="162" spans="34:35" ht="12.75">
      <c r="AH162" s="3"/>
      <c r="AI162" s="3"/>
    </row>
    <row r="163" spans="33:34" ht="12.75">
      <c r="AG163" s="3"/>
      <c r="AH163" s="3"/>
    </row>
  </sheetData>
  <mergeCells count="67">
    <mergeCell ref="R4:S7"/>
    <mergeCell ref="AH159:AK159"/>
    <mergeCell ref="B3:I3"/>
    <mergeCell ref="T3:Y3"/>
    <mergeCell ref="Z3:AE3"/>
    <mergeCell ref="J3:Q3"/>
    <mergeCell ref="D9:D10"/>
    <mergeCell ref="D4:E7"/>
    <mergeCell ref="F9:F10"/>
    <mergeCell ref="F4:G7"/>
    <mergeCell ref="H4:I7"/>
    <mergeCell ref="L9:L10"/>
    <mergeCell ref="N9:N10"/>
    <mergeCell ref="K9:K10"/>
    <mergeCell ref="M9:M10"/>
    <mergeCell ref="L4:M7"/>
    <mergeCell ref="N4:O7"/>
    <mergeCell ref="AI9:AI10"/>
    <mergeCell ref="AK9:AK10"/>
    <mergeCell ref="AM9:AM10"/>
    <mergeCell ref="AO9:AO10"/>
    <mergeCell ref="AJ9:AJ10"/>
    <mergeCell ref="AL9:AL10"/>
    <mergeCell ref="AN9:AN10"/>
    <mergeCell ref="AG9:AG10"/>
    <mergeCell ref="AB9:AB10"/>
    <mergeCell ref="AD9:AD10"/>
    <mergeCell ref="AF9:AF10"/>
    <mergeCell ref="AA9:AA10"/>
    <mergeCell ref="AC9:AC10"/>
    <mergeCell ref="Z9:Z10"/>
    <mergeCell ref="AE9:AE10"/>
    <mergeCell ref="O9:O10"/>
    <mergeCell ref="Q9:Q10"/>
    <mergeCell ref="P9:P10"/>
    <mergeCell ref="C9:C10"/>
    <mergeCell ref="E9:E10"/>
    <mergeCell ref="G9:G10"/>
    <mergeCell ref="I9:I10"/>
    <mergeCell ref="J9:J10"/>
    <mergeCell ref="H9:H10"/>
    <mergeCell ref="U9:U10"/>
    <mergeCell ref="W9:W10"/>
    <mergeCell ref="Y9:Y10"/>
    <mergeCell ref="T9:T10"/>
    <mergeCell ref="V9:V10"/>
    <mergeCell ref="X9:X10"/>
    <mergeCell ref="A3:A10"/>
    <mergeCell ref="B4:C7"/>
    <mergeCell ref="J4:K7"/>
    <mergeCell ref="AH4:AI7"/>
    <mergeCell ref="AH9:AH10"/>
    <mergeCell ref="AH3:AO3"/>
    <mergeCell ref="AJ4:AK7"/>
    <mergeCell ref="AL4:AM7"/>
    <mergeCell ref="AN4:AO7"/>
    <mergeCell ref="AD4:AE7"/>
    <mergeCell ref="B9:B10"/>
    <mergeCell ref="AF3:AG7"/>
    <mergeCell ref="Z4:AA7"/>
    <mergeCell ref="AB4:AC7"/>
    <mergeCell ref="R9:R10"/>
    <mergeCell ref="T4:U7"/>
    <mergeCell ref="V4:W7"/>
    <mergeCell ref="X4:Y7"/>
    <mergeCell ref="S9:S10"/>
    <mergeCell ref="P4:Q7"/>
  </mergeCells>
  <printOptions/>
  <pageMargins left="0.7874015748031497" right="0.1968503937007874" top="0.3937007874015748" bottom="0.5905511811023623" header="0.5118110236220472" footer="0.5118110236220472"/>
  <pageSetup firstPageNumber="129" useFirstPageNumber="1" horizontalDpi="600" verticalDpi="600" orientation="portrait" paperSize="9"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ГФУ</dc:creator>
  <cp:keywords/>
  <dc:description/>
  <cp:lastModifiedBy>cepelevaat</cp:lastModifiedBy>
  <cp:lastPrinted>2015-03-23T07:27:10Z</cp:lastPrinted>
  <dcterms:created xsi:type="dcterms:W3CDTF">2006-07-11T05:23:26Z</dcterms:created>
  <dcterms:modified xsi:type="dcterms:W3CDTF">2015-05-18T12:10:48Z</dcterms:modified>
  <cp:category/>
  <cp:version/>
  <cp:contentType/>
  <cp:contentStatus/>
</cp:coreProperties>
</file>